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270" windowHeight="12525"/>
  </bookViews>
  <sheets>
    <sheet name="15.10.24 уточ Корочанский" sheetId="71" r:id="rId1"/>
  </sheets>
  <definedNames>
    <definedName name="_xlnm.Print_Titles" localSheetId="0">'15.10.24 уточ Корочанский'!$5:$8</definedName>
    <definedName name="_xlnm.Print_Area" localSheetId="0">'15.10.24 уточ Корочанский'!$A$1:$V$190</definedName>
  </definedNames>
  <calcPr calcId="124519"/>
</workbook>
</file>

<file path=xl/calcChain.xml><?xml version="1.0" encoding="utf-8"?>
<calcChain xmlns="http://schemas.openxmlformats.org/spreadsheetml/2006/main">
  <c r="X186" i="71"/>
  <c r="I186"/>
  <c r="I170" s="1"/>
  <c r="F185"/>
  <c r="G185" s="1"/>
  <c r="G184"/>
  <c r="F184"/>
  <c r="F183"/>
  <c r="G183" s="1"/>
  <c r="F182"/>
  <c r="G182" s="1"/>
  <c r="F181"/>
  <c r="G181" s="1"/>
  <c r="G180"/>
  <c r="F180"/>
  <c r="F179"/>
  <c r="G179" s="1"/>
  <c r="F178"/>
  <c r="G178" s="1"/>
  <c r="F177"/>
  <c r="G177" s="1"/>
  <c r="G176"/>
  <c r="F176"/>
  <c r="F175"/>
  <c r="G175" s="1"/>
  <c r="G174"/>
  <c r="W173"/>
  <c r="F173"/>
  <c r="E173"/>
  <c r="E170" s="1"/>
  <c r="C173"/>
  <c r="G172"/>
  <c r="G173" s="1"/>
  <c r="F171"/>
  <c r="E171"/>
  <c r="C171"/>
  <c r="V170"/>
  <c r="U170"/>
  <c r="T170"/>
  <c r="R170"/>
  <c r="L170"/>
  <c r="K170"/>
  <c r="J170"/>
  <c r="F170"/>
  <c r="G169"/>
  <c r="G168"/>
  <c r="G167"/>
  <c r="G166"/>
  <c r="G165"/>
  <c r="G164"/>
  <c r="G163"/>
  <c r="U162"/>
  <c r="G162"/>
  <c r="G161"/>
  <c r="G160" s="1"/>
  <c r="V160"/>
  <c r="U160"/>
  <c r="T160"/>
  <c r="R160"/>
  <c r="F160"/>
  <c r="E160"/>
  <c r="C160"/>
  <c r="L159"/>
  <c r="L154" s="1"/>
  <c r="H159"/>
  <c r="F157"/>
  <c r="G157" s="1"/>
  <c r="G156"/>
  <c r="G155"/>
  <c r="V154"/>
  <c r="U154"/>
  <c r="T154"/>
  <c r="R154"/>
  <c r="K154"/>
  <c r="J154"/>
  <c r="H154"/>
  <c r="E154"/>
  <c r="C154"/>
  <c r="U151"/>
  <c r="V151" s="1"/>
  <c r="V150" s="1"/>
  <c r="T150"/>
  <c r="R150"/>
  <c r="G150"/>
  <c r="F150"/>
  <c r="E150"/>
  <c r="C150"/>
  <c r="G149"/>
  <c r="F148"/>
  <c r="G148" s="1"/>
  <c r="F147"/>
  <c r="G147" s="1"/>
  <c r="F146"/>
  <c r="G146" s="1"/>
  <c r="G145"/>
  <c r="F145"/>
  <c r="F144"/>
  <c r="G144" s="1"/>
  <c r="F143"/>
  <c r="G143" s="1"/>
  <c r="F142"/>
  <c r="G142" s="1"/>
  <c r="G141"/>
  <c r="F141"/>
  <c r="F140"/>
  <c r="G140" s="1"/>
  <c r="W139"/>
  <c r="V139"/>
  <c r="V138" s="1"/>
  <c r="U139"/>
  <c r="R139"/>
  <c r="R138" s="1"/>
  <c r="F139"/>
  <c r="G139" s="1"/>
  <c r="G138" s="1"/>
  <c r="W138"/>
  <c r="U138"/>
  <c r="T138"/>
  <c r="F138"/>
  <c r="E138"/>
  <c r="C138"/>
  <c r="U136"/>
  <c r="V136" s="1"/>
  <c r="V135" s="1"/>
  <c r="T135"/>
  <c r="S135"/>
  <c r="S11" s="1"/>
  <c r="R135"/>
  <c r="G135"/>
  <c r="F135"/>
  <c r="E135"/>
  <c r="D135"/>
  <c r="C135"/>
  <c r="F134"/>
  <c r="G134" s="1"/>
  <c r="G133"/>
  <c r="F133"/>
  <c r="F132"/>
  <c r="G132" s="1"/>
  <c r="G131" s="1"/>
  <c r="G130" s="1"/>
  <c r="U131"/>
  <c r="V131" s="1"/>
  <c r="V130" s="1"/>
  <c r="E131"/>
  <c r="C131"/>
  <c r="U130"/>
  <c r="T130"/>
  <c r="R130"/>
  <c r="E130"/>
  <c r="C130"/>
  <c r="K129"/>
  <c r="L129" s="1"/>
  <c r="K128"/>
  <c r="L128" s="1"/>
  <c r="K127"/>
  <c r="L127" s="1"/>
  <c r="L126"/>
  <c r="K126"/>
  <c r="K125"/>
  <c r="L125" s="1"/>
  <c r="K124"/>
  <c r="L124" s="1"/>
  <c r="K123"/>
  <c r="L123" s="1"/>
  <c r="L122"/>
  <c r="K122"/>
  <c r="K121"/>
  <c r="L121" s="1"/>
  <c r="K120"/>
  <c r="L120" s="1"/>
  <c r="K119"/>
  <c r="L119" s="1"/>
  <c r="L118"/>
  <c r="K118"/>
  <c r="K117"/>
  <c r="L117" s="1"/>
  <c r="K116"/>
  <c r="L116" s="1"/>
  <c r="K115"/>
  <c r="L115" s="1"/>
  <c r="L114"/>
  <c r="K114"/>
  <c r="G114"/>
  <c r="K113"/>
  <c r="L113" s="1"/>
  <c r="K112"/>
  <c r="L112" s="1"/>
  <c r="K111"/>
  <c r="L111" s="1"/>
  <c r="K110"/>
  <c r="L110" s="1"/>
  <c r="K109"/>
  <c r="K108"/>
  <c r="L108" s="1"/>
  <c r="G107"/>
  <c r="G105" s="1"/>
  <c r="G106" s="1"/>
  <c r="V105"/>
  <c r="U105"/>
  <c r="T105"/>
  <c r="R105"/>
  <c r="J105"/>
  <c r="J106" s="1"/>
  <c r="H105"/>
  <c r="H106" s="1"/>
  <c r="F105"/>
  <c r="F106" s="1"/>
  <c r="E105"/>
  <c r="E106" s="1"/>
  <c r="C105"/>
  <c r="C106" s="1"/>
  <c r="F104"/>
  <c r="G104" s="1"/>
  <c r="F103"/>
  <c r="G103" s="1"/>
  <c r="G102"/>
  <c r="F102"/>
  <c r="F101"/>
  <c r="G101" s="1"/>
  <c r="C100"/>
  <c r="V99"/>
  <c r="U99"/>
  <c r="T99"/>
  <c r="R99"/>
  <c r="G99"/>
  <c r="F99"/>
  <c r="E99"/>
  <c r="C99"/>
  <c r="G98"/>
  <c r="F97"/>
  <c r="G97" s="1"/>
  <c r="G96"/>
  <c r="G94" s="1"/>
  <c r="F96"/>
  <c r="V94"/>
  <c r="U94"/>
  <c r="T94"/>
  <c r="R94"/>
  <c r="F94"/>
  <c r="E94"/>
  <c r="C94"/>
  <c r="F93"/>
  <c r="G93" s="1"/>
  <c r="G92"/>
  <c r="F92"/>
  <c r="C91"/>
  <c r="V90"/>
  <c r="U90"/>
  <c r="T90"/>
  <c r="R90"/>
  <c r="G90"/>
  <c r="F90"/>
  <c r="E90"/>
  <c r="C90"/>
  <c r="F89"/>
  <c r="G89" s="1"/>
  <c r="F88"/>
  <c r="G88" s="1"/>
  <c r="G87"/>
  <c r="F86"/>
  <c r="G86" s="1"/>
  <c r="F85"/>
  <c r="G85" s="1"/>
  <c r="U82"/>
  <c r="U81" s="1"/>
  <c r="T81"/>
  <c r="R81"/>
  <c r="V80"/>
  <c r="V79" s="1"/>
  <c r="U80"/>
  <c r="F80"/>
  <c r="F79" s="1"/>
  <c r="E80"/>
  <c r="C80"/>
  <c r="C79" s="1"/>
  <c r="U79"/>
  <c r="T79"/>
  <c r="R79"/>
  <c r="E79"/>
  <c r="F78"/>
  <c r="E78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V69"/>
  <c r="F69"/>
  <c r="G69" s="1"/>
  <c r="V67"/>
  <c r="U67"/>
  <c r="T67"/>
  <c r="R67"/>
  <c r="C67"/>
  <c r="L64"/>
  <c r="K64" s="1"/>
  <c r="L63"/>
  <c r="K63"/>
  <c r="K62" s="1"/>
  <c r="L62"/>
  <c r="J62"/>
  <c r="H62"/>
  <c r="H56" s="1"/>
  <c r="L61"/>
  <c r="L56" s="1"/>
  <c r="G60"/>
  <c r="G59"/>
  <c r="C59"/>
  <c r="C56" s="1"/>
  <c r="G58"/>
  <c r="V56"/>
  <c r="U56"/>
  <c r="T56"/>
  <c r="R56"/>
  <c r="J56"/>
  <c r="F56"/>
  <c r="E56"/>
  <c r="L54"/>
  <c r="I54"/>
  <c r="V50"/>
  <c r="U50"/>
  <c r="T50"/>
  <c r="R50"/>
  <c r="L50"/>
  <c r="K50"/>
  <c r="J50"/>
  <c r="I50"/>
  <c r="I11" s="1"/>
  <c r="H50"/>
  <c r="G50"/>
  <c r="F50"/>
  <c r="E50"/>
  <c r="C50"/>
  <c r="K49"/>
  <c r="L49" s="1"/>
  <c r="K48"/>
  <c r="L48" s="1"/>
  <c r="K47"/>
  <c r="L47" s="1"/>
  <c r="L46"/>
  <c r="K46"/>
  <c r="G46"/>
  <c r="F45"/>
  <c r="G45" s="1"/>
  <c r="G44"/>
  <c r="F44"/>
  <c r="F43"/>
  <c r="G43" s="1"/>
  <c r="F42"/>
  <c r="G42" s="1"/>
  <c r="F41"/>
  <c r="G41" s="1"/>
  <c r="G40"/>
  <c r="F40"/>
  <c r="K39"/>
  <c r="J39"/>
  <c r="H39"/>
  <c r="F39"/>
  <c r="E39"/>
  <c r="C39"/>
  <c r="K38"/>
  <c r="L38" s="1"/>
  <c r="K37"/>
  <c r="L37" s="1"/>
  <c r="K36"/>
  <c r="L36" s="1"/>
  <c r="L35"/>
  <c r="K35"/>
  <c r="K34"/>
  <c r="L34" s="1"/>
  <c r="K33"/>
  <c r="L33" s="1"/>
  <c r="K32"/>
  <c r="L32" s="1"/>
  <c r="G32"/>
  <c r="F32"/>
  <c r="F31"/>
  <c r="G31" s="1"/>
  <c r="F30"/>
  <c r="G30" s="1"/>
  <c r="K29"/>
  <c r="K28" s="1"/>
  <c r="J29"/>
  <c r="J28" s="1"/>
  <c r="J11" s="1"/>
  <c r="H29"/>
  <c r="F29"/>
  <c r="F28" s="1"/>
  <c r="E29"/>
  <c r="E28" s="1"/>
  <c r="C29"/>
  <c r="V28"/>
  <c r="U28"/>
  <c r="T28"/>
  <c r="R28"/>
  <c r="H28"/>
  <c r="C28"/>
  <c r="F27"/>
  <c r="G27" s="1"/>
  <c r="F26"/>
  <c r="G26" s="1"/>
  <c r="G25"/>
  <c r="F25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V16"/>
  <c r="F16"/>
  <c r="F15" s="1"/>
  <c r="E16"/>
  <c r="E15" s="1"/>
  <c r="C16"/>
  <c r="C15" s="1"/>
  <c r="V15"/>
  <c r="D11"/>
  <c r="G56" l="1"/>
  <c r="G78"/>
  <c r="G67" s="1"/>
  <c r="T11"/>
  <c r="K105"/>
  <c r="K106" s="1"/>
  <c r="G171"/>
  <c r="C170"/>
  <c r="R11"/>
  <c r="H11"/>
  <c r="G80"/>
  <c r="G79" s="1"/>
  <c r="L109"/>
  <c r="F131"/>
  <c r="F130" s="1"/>
  <c r="G170"/>
  <c r="C11"/>
  <c r="W28"/>
  <c r="L105"/>
  <c r="L106" s="1"/>
  <c r="G16"/>
  <c r="G15" s="1"/>
  <c r="V11"/>
  <c r="G29"/>
  <c r="L29"/>
  <c r="G39"/>
  <c r="L39"/>
  <c r="K61"/>
  <c r="K56" s="1"/>
  <c r="K13" s="1"/>
  <c r="F67"/>
  <c r="U135"/>
  <c r="U150"/>
  <c r="W157"/>
  <c r="F158"/>
  <c r="E67"/>
  <c r="E11" s="1"/>
  <c r="W11" s="1"/>
  <c r="L28" l="1"/>
  <c r="U11"/>
  <c r="G28"/>
  <c r="K11"/>
  <c r="F11"/>
  <c r="X11" s="1"/>
  <c r="W158"/>
  <c r="G158"/>
  <c r="G154" s="1"/>
  <c r="G11" s="1"/>
  <c r="Z11" s="1"/>
  <c r="F154"/>
  <c r="F13" s="1"/>
  <c r="L11"/>
  <c r="L14"/>
  <c r="G14" l="1"/>
</calcChain>
</file>

<file path=xl/sharedStrings.xml><?xml version="1.0" encoding="utf-8"?>
<sst xmlns="http://schemas.openxmlformats.org/spreadsheetml/2006/main" count="227" uniqueCount="192">
  <si>
    <t>№ п/п</t>
  </si>
  <si>
    <t>в том числе</t>
  </si>
  <si>
    <t>Стоимость ВСЕГО,                      тыс. рублей</t>
  </si>
  <si>
    <t>муници-пальный бюджет</t>
  </si>
  <si>
    <t>ВСЕГО</t>
  </si>
  <si>
    <t>в том числе:</t>
  </si>
  <si>
    <t>Белгородский район</t>
  </si>
  <si>
    <t>Борисовский район</t>
  </si>
  <si>
    <t>Вейделевский район</t>
  </si>
  <si>
    <t>Волоконовский район</t>
  </si>
  <si>
    <t>Губкинский городской округ</t>
  </si>
  <si>
    <t>Ивнянский район</t>
  </si>
  <si>
    <t>Корочанский район</t>
  </si>
  <si>
    <t>Красненский район</t>
  </si>
  <si>
    <t>Красногвардейский район</t>
  </si>
  <si>
    <t>Новооскольский городской округ</t>
  </si>
  <si>
    <t>Прохоровский район</t>
  </si>
  <si>
    <t xml:space="preserve">   </t>
  </si>
  <si>
    <t>Ракитянский район</t>
  </si>
  <si>
    <t>Ровеньский район</t>
  </si>
  <si>
    <t>Старооскольский городской округ</t>
  </si>
  <si>
    <t>г. Белгород</t>
  </si>
  <si>
    <t>Стоимость ВСЕГО,                   тыс. рублей</t>
  </si>
  <si>
    <t xml:space="preserve">           </t>
  </si>
  <si>
    <t xml:space="preserve">     </t>
  </si>
  <si>
    <t xml:space="preserve">    </t>
  </si>
  <si>
    <t xml:space="preserve"> </t>
  </si>
  <si>
    <t>субсидии               из областного бюджета</t>
  </si>
  <si>
    <t>субсидии       из областного бюджета</t>
  </si>
  <si>
    <t>областной бюджет</t>
  </si>
  <si>
    <t>2024 год</t>
  </si>
  <si>
    <t>Краснояружский  район</t>
  </si>
  <si>
    <t>Протяженность</t>
  </si>
  <si>
    <t xml:space="preserve">км </t>
  </si>
  <si>
    <t>п.м</t>
  </si>
  <si>
    <t>субсидии из областного бюджета</t>
  </si>
  <si>
    <t>средства  бюджетов муниципальных образований</t>
  </si>
  <si>
    <t>2025 год</t>
  </si>
  <si>
    <t>2026 год</t>
  </si>
  <si>
    <t>2027 год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</si>
  <si>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</si>
  <si>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Отремонтировано автодорог и мостов местного значения</t>
  </si>
  <si>
    <t>МКР ИЖС «Шишино - 84»</t>
  </si>
  <si>
    <t>МКР ИЖС «Майский - 8»</t>
  </si>
  <si>
    <t>МКР ИЖС «Майский - 80»</t>
  </si>
  <si>
    <t>МКР ИЖС «Разумное - 81»</t>
  </si>
  <si>
    <t>МКР ИЖС «Пушкарное - 78»</t>
  </si>
  <si>
    <t>х. Постников (в щебне)</t>
  </si>
  <si>
    <t>с. Анновка, ул. Центральная</t>
  </si>
  <si>
    <t>с. Ливенка, ул. Набережная</t>
  </si>
  <si>
    <t>Ремонт автодорог в МКР ИЖС «Пролески»</t>
  </si>
  <si>
    <t>МКР ИЖС Пушкарное,                                                                   проезд между ул. Ратная и ул. Дозорная</t>
  </si>
  <si>
    <t>с. Кривцово, ул. Привольная</t>
  </si>
  <si>
    <t>с. Репное, МКР «Европа», ул. Парижская</t>
  </si>
  <si>
    <t xml:space="preserve">п. Волоконовка, ул. Королева </t>
  </si>
  <si>
    <t xml:space="preserve">х. Волчий, ул. Калинина </t>
  </si>
  <si>
    <t xml:space="preserve">с. Новоселовка, ул. Речная </t>
  </si>
  <si>
    <t>с. Подольхи, ул. Колхозная</t>
  </si>
  <si>
    <t>с. Казачье, ул. Солнечная</t>
  </si>
  <si>
    <t>с. Казачье, ул. Береговая</t>
  </si>
  <si>
    <t>п. Уразово</t>
  </si>
  <si>
    <t>п. Прохоровка, ул. Ивана Гнездилова</t>
  </si>
  <si>
    <t xml:space="preserve">г. Алексеевка, ул. Л. Толстого        </t>
  </si>
  <si>
    <t>г. Алексеевка, ул. Кривошеина</t>
  </si>
  <si>
    <t xml:space="preserve">г. Алексеевка, ул. Тихая Сосна </t>
  </si>
  <si>
    <t xml:space="preserve">г. Алексеевка, ул. Песчаная </t>
  </si>
  <si>
    <t>г. Алексеевка, ул. Каштановая</t>
  </si>
  <si>
    <t xml:space="preserve">г. Алексеевка, ул. Мостовая </t>
  </si>
  <si>
    <t>г. Грайворон, ул. Пролетарская</t>
  </si>
  <si>
    <t xml:space="preserve">г. Грайворон, ул. Горького </t>
  </si>
  <si>
    <t>Ремонт улично-дорожной сети района, в том числе</t>
  </si>
  <si>
    <t>Ремонт улично-дорожной сети городского округа,                в том числе</t>
  </si>
  <si>
    <t>с. Готовье, ул. Молодежная</t>
  </si>
  <si>
    <t>с. Ураково, ул. Пролетарская</t>
  </si>
  <si>
    <t>Ремонт автодороги к СНТ «Авиатор»</t>
  </si>
  <si>
    <t>с. Городище</t>
  </si>
  <si>
    <t>х. Новочеркасский, подъезд к кладбищу</t>
  </si>
  <si>
    <t>с. Красное, пер. Подгорный, пер. Восточный</t>
  </si>
  <si>
    <t>с. Сетище, ул. Прудовая, ул. Лесная</t>
  </si>
  <si>
    <t>Ремонт автодороги по ул. 1 Мая в г. Валуйки</t>
  </si>
  <si>
    <t xml:space="preserve">Приложение № 9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и дорожной сети  Белгородской области»  </t>
  </si>
  <si>
    <t>г. Алексеевка, ул. Маяковского</t>
  </si>
  <si>
    <t>г. Алексеевка, пер. Острогожский</t>
  </si>
  <si>
    <t xml:space="preserve">г. Алексеевка, ул. Нижняя </t>
  </si>
  <si>
    <t>Ремонт автодороги от подсобного хозяйства                             (с. Новая Симоновка) до Свято-Николаевского собора (МКР Раздолье)</t>
  </si>
  <si>
    <t xml:space="preserve">с. Головчино, ул. Карла Маркса </t>
  </si>
  <si>
    <t xml:space="preserve">п. Красная Яруга, ул. Народная - ул. Набережная </t>
  </si>
  <si>
    <t xml:space="preserve">п. Красная Яруга, ул. Почтовая </t>
  </si>
  <si>
    <t xml:space="preserve"> п. Ракитное, ул. Призаводская, ул. Заводская</t>
  </si>
  <si>
    <t>ремонт автодороги                                                                                                                                   с. Покровка - х. Красная Поляна - х. Береговой</t>
  </si>
  <si>
    <t>п. Ивня, ул. Транспортная</t>
  </si>
  <si>
    <t>г. Новый Оскол, ул. Успенская - ул. Кирова</t>
  </si>
  <si>
    <t xml:space="preserve"> г. Алексеевка, ул. Н. Рубана                </t>
  </si>
  <si>
    <t>г. Алексеевка, пер. Фрунзе</t>
  </si>
  <si>
    <t>с. Казачье, ул. Тихая</t>
  </si>
  <si>
    <t>с. Фощеватово, ул. Лесная</t>
  </si>
  <si>
    <t>с. Фощеватово, ул. Петровская</t>
  </si>
  <si>
    <t>с. Фощеватово, ул. Горная</t>
  </si>
  <si>
    <t>с. Фощеватово, ул. Набережная</t>
  </si>
  <si>
    <t>с. Фощеватово, ул. Раздольная</t>
  </si>
  <si>
    <t>х. Волчий Первый, ул. Дачная</t>
  </si>
  <si>
    <t>с. Шеншиновка, ул. Садовая</t>
  </si>
  <si>
    <t>п. Волоконовка, ул. Сибирский Проезд</t>
  </si>
  <si>
    <t>Ремонт мостов через реку Локня                                                            в с.Красный Куток</t>
  </si>
  <si>
    <t>г. Валуйки, ул. Никольская</t>
  </si>
  <si>
    <t>х. Тополи - с. Антоновка</t>
  </si>
  <si>
    <t xml:space="preserve">Капитальный ремонт моста в г. Новый Оскол,                   ул. 1 Мая </t>
  </si>
  <si>
    <t>с. Сорокино, ул. Тракторная, ул. Дачная,                            п. Аксеновка, ул. Песочная</t>
  </si>
  <si>
    <t xml:space="preserve">  </t>
  </si>
  <si>
    <t>с. Камышевка, ул. Волошенко</t>
  </si>
  <si>
    <t>с. Верхний Ольшанец, ул. Садовая</t>
  </si>
  <si>
    <t>п. Яковлево, ул. Южная</t>
  </si>
  <si>
    <t>с. Гостищево, подъезд к кладбищу</t>
  </si>
  <si>
    <t>с. Отрадовка, ул. Центральная - ул. Озерная</t>
  </si>
  <si>
    <t>Ремонт автодорог в МКР ИЖС, в том числе</t>
  </si>
  <si>
    <t>МКР ИЖС «Тополек»</t>
  </si>
  <si>
    <t>Капитальный ремонт пр. Ватутина от ул. 5 Августа                                                                                   до ул. Князя Трубецкого с капитальным ремонтом мостовых сооружений и путепровода</t>
  </si>
  <si>
    <t>Министр автомобильных дорог и транспорта Белгородской области</t>
  </si>
  <si>
    <t>С.В. Евтушенко</t>
  </si>
  <si>
    <t>п. Прохоровка, ул. Лермонтова</t>
  </si>
  <si>
    <r>
      <t>п</t>
    </r>
    <r>
      <rPr>
        <sz val="14"/>
        <color rgb="FF8B08BC"/>
        <rFont val="Times New Roman"/>
        <family val="1"/>
        <charset val="204"/>
      </rPr>
      <t xml:space="preserve">. </t>
    </r>
    <r>
      <rPr>
        <sz val="14"/>
        <rFont val="Times New Roman"/>
        <family val="1"/>
        <charset val="204"/>
      </rPr>
      <t xml:space="preserve">Прохоровка, 1-й Советский переулок </t>
    </r>
  </si>
  <si>
    <t>п. Прохоровка, ул. Советская</t>
  </si>
  <si>
    <t>г. Валуйки, ул. Щорса</t>
  </si>
  <si>
    <t>с. Вязовое, ул. Народная</t>
  </si>
  <si>
    <t>г. Строитель, ул. Конева</t>
  </si>
  <si>
    <t>г. Строитель, ул. Жукова</t>
  </si>
  <si>
    <t>с. Гостищево, ул. Комсомольская</t>
  </si>
  <si>
    <t>г. Строитель, ул. Жукова                                                                                                       (ремонт внутридомовых проездов)</t>
  </si>
  <si>
    <t>г. Старый Оскол, ул. Треугольник</t>
  </si>
  <si>
    <t>г. Старый Оскол, ул. Комсомольская                               (от пр. Комсомольского до ул. Ленина)</t>
  </si>
  <si>
    <t>с. Арнаутово, ул. Победы</t>
  </si>
  <si>
    <t>с. Стрелецкое, ул. Пролетарская</t>
  </si>
  <si>
    <t>г. Бирюч, ул. Советская</t>
  </si>
  <si>
    <t>г. Бирюч, ул. Ямская</t>
  </si>
  <si>
    <t>с. Ливенка, ул. Советская</t>
  </si>
  <si>
    <t xml:space="preserve">с. Уточка, ул. Советская </t>
  </si>
  <si>
    <t>с. Веселое, ул. Мира (д/с Теремок)</t>
  </si>
  <si>
    <t>с. Ливенка, ул. Заводская</t>
  </si>
  <si>
    <t>Ремонт автомобильных дорог  в урочище Пески (ул. Дальняя Тихая и ул. Ольховая) в граниах городского округа "Город Белгород"</t>
  </si>
  <si>
    <t>Ремонт улично-дорожной сети в г.Белгороде                                     (ул. Белгородской Сирени)</t>
  </si>
  <si>
    <t>Ремонт ул. Белгородского Полка                                                    от пр. Белгородский до ул. Октябрьская</t>
  </si>
  <si>
    <t>Ремонт ул.Волчанская от ул. Михайловское шоссе до д. 139</t>
  </si>
  <si>
    <t>Ремонт ул. Академическая от ул. Костюкова                                                         до д. 1а</t>
  </si>
  <si>
    <t>Ремонт ул. Беловская</t>
  </si>
  <si>
    <t>Ремонт ул. Пятницкая от ул. Макаренко                                                      до ул. С.Косенкова</t>
  </si>
  <si>
    <t>Ремонт ул.С.Чайкина от ул. Пятницкая                                                          до ул. Беловская</t>
  </si>
  <si>
    <t>Ремонт ул. С.Косенкова</t>
  </si>
  <si>
    <t>Ремонт автодороги по пер. 5 Ясный</t>
  </si>
  <si>
    <t>Ремонт автодороги по пер.2 Декабристов                                                                  от пер. 1-й Слобожанский до д.15</t>
  </si>
  <si>
    <t>п. Борисовка, ул. Терновая</t>
  </si>
  <si>
    <t>п. Борисовка, ул. Ленина</t>
  </si>
  <si>
    <t xml:space="preserve">Ремонт автодороги от с.Поминово до с. Гладково </t>
  </si>
  <si>
    <t>с. Принцевка, ул. Кольцевая</t>
  </si>
  <si>
    <t>с. Засосна, ул. Победы</t>
  </si>
  <si>
    <t>с. Раздорное, ул. Раздорная</t>
  </si>
  <si>
    <t>с. Веселое, ул. Полевая</t>
  </si>
  <si>
    <t>с. Горовое, ул. Мира</t>
  </si>
  <si>
    <t>х. Котляров, ул. Центральная</t>
  </si>
  <si>
    <t xml:space="preserve"> Перечень объектов капитального ремонта и ремонта автодорог местного значения и искусственных сооружений на них в Белгородской области на 2024 - 2025 годы    </t>
  </si>
  <si>
    <t>Капитальный ремонт автодорог в МКР ИЖС,                     в том числе</t>
  </si>
  <si>
    <t>МКР ИЖС «Княжеский»</t>
  </si>
  <si>
    <t>МКР ИЖС «Лесной»</t>
  </si>
  <si>
    <t>МКР ИЖС «Новосадовый - 41», проезды</t>
  </si>
  <si>
    <t>МКР ИЖС «Пушкарное - 78» (2-я очередь)</t>
  </si>
  <si>
    <t>МКР ИЖС «Стрелецкое - 73/1»</t>
  </si>
  <si>
    <t>МКР ИЖС «Новосадовый - 41», «Новые сады»</t>
  </si>
  <si>
    <t>МКР ИЖС «Стрелецкое - 83»</t>
  </si>
  <si>
    <t>п. Борисовка, ул. Советская</t>
  </si>
  <si>
    <t>Капитальный ремонт улично - дорожной сети города, в том числе</t>
  </si>
  <si>
    <t>Ремонт улично - дорожной сети города,                                             в том числе</t>
  </si>
  <si>
    <t>Капитальный ремонт пр. Ватутина от ул. 5 Августа                                                                                   до ул. Князя Трубецкого в г. Белгороде (1 этап)</t>
  </si>
  <si>
    <t>Ремонт автодорог к парку аттракционов                                                              в городе Белгороде</t>
  </si>
  <si>
    <t>с. Казацкое, ул. Заречная</t>
  </si>
  <si>
    <t>с. Остроухово, ул. Октябрьская</t>
  </si>
  <si>
    <t>с. Верхососна, ул. Мира, ул. Лесная</t>
  </si>
  <si>
    <t>г. Бирюч, ул. Чайковского</t>
  </si>
  <si>
    <t>г. Бирюч, ул. Заводская</t>
  </si>
  <si>
    <t>г. Бирюч, ул. Большевистская</t>
  </si>
  <si>
    <t>с. Малиново, ул. Зеленая (перекресток)</t>
  </si>
  <si>
    <t>с. Ливенка, ул. Подлес</t>
  </si>
  <si>
    <t>с. Черменевка, ул. Подгорная</t>
  </si>
  <si>
    <t>с. Ивановская Лисица, ул. Ленина</t>
  </si>
  <si>
    <t>с. Головчино, ул. 2-я Советская (I-я очередь)</t>
  </si>
  <si>
    <t>с. Головчино, ул. 2-я Советская (II-я очередь)</t>
  </si>
  <si>
    <t>г. Короча, пер. Карла Либкнехта</t>
  </si>
  <si>
    <t>Наименование муниципальных районов, городских            и муниципальных округов, поселений, населенных пунктов</t>
  </si>
  <si>
    <t>Алексеевский муниципальный округ</t>
  </si>
  <si>
    <t>МКР ИЖС «Стрелецкое - 73/2 (2-я очередь)»</t>
  </si>
  <si>
    <t>п. Новосадовый, МКР ИЖС «Новосадовый - 26»,         ул. Тенистая</t>
  </si>
  <si>
    <t>Валуйский муниципальный округ</t>
  </si>
  <si>
    <t>Грайворонский муниципальный округ</t>
  </si>
  <si>
    <t>Яковлевский муниципальный округ</t>
  </si>
</sst>
</file>

<file path=xl/styles.xml><?xml version="1.0" encoding="utf-8"?>
<styleSheet xmlns="http://schemas.openxmlformats.org/spreadsheetml/2006/main">
  <numFmts count="10">
    <numFmt numFmtId="164" formatCode="0.0"/>
    <numFmt numFmtId="165" formatCode="#,##0.0"/>
    <numFmt numFmtId="166" formatCode="#,##0.000"/>
    <numFmt numFmtId="167" formatCode="#,##0_р_."/>
    <numFmt numFmtId="168" formatCode="#,##0.0_р_."/>
    <numFmt numFmtId="169" formatCode="#,##0.000_р_."/>
    <numFmt numFmtId="170" formatCode="0.000"/>
    <numFmt numFmtId="171" formatCode="0.00000000"/>
    <numFmt numFmtId="172" formatCode="#,##0.00000"/>
    <numFmt numFmtId="173" formatCode="#,##0.000000"/>
  </numFmts>
  <fonts count="20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Helv"/>
      <charset val="204"/>
    </font>
    <font>
      <sz val="16"/>
      <name val="Helv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8B08BC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0" borderId="0"/>
  </cellStyleXfs>
  <cellXfs count="201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6" fillId="0" borderId="1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5" xfId="1" applyFont="1" applyFill="1" applyBorder="1" applyAlignment="1">
      <alignment horizontal="center" vertical="center" wrapText="1"/>
    </xf>
    <xf numFmtId="0" fontId="2" fillId="0" borderId="17" xfId="1" applyFill="1" applyBorder="1"/>
    <xf numFmtId="0" fontId="2" fillId="0" borderId="17" xfId="0" applyFont="1" applyFill="1" applyBorder="1"/>
    <xf numFmtId="0" fontId="2" fillId="0" borderId="16" xfId="0" applyFont="1" applyFill="1" applyBorder="1"/>
    <xf numFmtId="0" fontId="10" fillId="0" borderId="5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0" fontId="2" fillId="0" borderId="9" xfId="1" applyFill="1" applyBorder="1"/>
    <xf numFmtId="3" fontId="11" fillId="0" borderId="9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165" fontId="11" fillId="0" borderId="9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3" fontId="11" fillId="0" borderId="8" xfId="1" applyNumberFormat="1" applyFont="1" applyFill="1" applyBorder="1" applyAlignment="1">
      <alignment horizontal="center" vertical="center" wrapText="1"/>
    </xf>
    <xf numFmtId="3" fontId="11" fillId="0" borderId="6" xfId="1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/>
    <xf numFmtId="165" fontId="11" fillId="0" borderId="10" xfId="1" applyNumberFormat="1" applyFont="1" applyFill="1" applyBorder="1" applyAlignment="1">
      <alignment horizontal="center" vertical="center" wrapText="1"/>
    </xf>
    <xf numFmtId="166" fontId="11" fillId="0" borderId="9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 wrapText="1"/>
    </xf>
    <xf numFmtId="167" fontId="3" fillId="0" borderId="9" xfId="1" applyNumberFormat="1" applyFont="1" applyFill="1" applyBorder="1" applyAlignment="1">
      <alignment horizontal="center" vertical="center"/>
    </xf>
    <xf numFmtId="167" fontId="11" fillId="0" borderId="9" xfId="1" applyNumberFormat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 wrapText="1"/>
    </xf>
    <xf numFmtId="166" fontId="12" fillId="0" borderId="9" xfId="0" applyNumberFormat="1" applyFont="1" applyFill="1" applyBorder="1"/>
    <xf numFmtId="0" fontId="3" fillId="0" borderId="0" xfId="0" applyFont="1"/>
    <xf numFmtId="0" fontId="2" fillId="0" borderId="10" xfId="0" applyFont="1" applyFill="1" applyBorder="1"/>
    <xf numFmtId="166" fontId="2" fillId="0" borderId="10" xfId="0" applyNumberFormat="1" applyFont="1" applyFill="1" applyBorder="1"/>
    <xf numFmtId="166" fontId="11" fillId="0" borderId="10" xfId="1" applyNumberFormat="1" applyFont="1" applyFill="1" applyBorder="1" applyAlignment="1">
      <alignment horizontal="center" vertical="center" wrapText="1"/>
    </xf>
    <xf numFmtId="166" fontId="12" fillId="0" borderId="10" xfId="0" applyNumberFormat="1" applyFont="1" applyFill="1" applyBorder="1"/>
    <xf numFmtId="0" fontId="2" fillId="0" borderId="18" xfId="0" applyFont="1" applyFill="1" applyBorder="1"/>
    <xf numFmtId="164" fontId="3" fillId="0" borderId="9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165" fontId="4" fillId="0" borderId="9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166" fontId="13" fillId="0" borderId="9" xfId="0" applyNumberFormat="1" applyFont="1" applyFill="1" applyBorder="1"/>
    <xf numFmtId="166" fontId="3" fillId="0" borderId="9" xfId="1" applyNumberFormat="1" applyFont="1" applyFill="1" applyBorder="1" applyAlignment="1">
      <alignment horizontal="center" vertical="center" wrapText="1"/>
    </xf>
    <xf numFmtId="2" fontId="11" fillId="0" borderId="9" xfId="1" applyNumberFormat="1" applyFont="1" applyFill="1" applyBorder="1" applyAlignment="1">
      <alignment horizontal="center" vertical="center"/>
    </xf>
    <xf numFmtId="168" fontId="11" fillId="0" borderId="17" xfId="1" applyNumberFormat="1" applyFont="1" applyFill="1" applyBorder="1" applyAlignment="1">
      <alignment horizontal="center" vertical="center"/>
    </xf>
    <xf numFmtId="168" fontId="11" fillId="0" borderId="18" xfId="1" applyNumberFormat="1" applyFont="1" applyFill="1" applyBorder="1" applyAlignment="1">
      <alignment horizontal="center" vertical="center"/>
    </xf>
    <xf numFmtId="165" fontId="3" fillId="0" borderId="9" xfId="1" applyNumberFormat="1" applyFont="1" applyFill="1" applyBorder="1" applyAlignment="1">
      <alignment horizontal="center" vertical="center" wrapText="1"/>
    </xf>
    <xf numFmtId="170" fontId="3" fillId="0" borderId="9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0" applyFont="1" applyBorder="1"/>
    <xf numFmtId="0" fontId="2" fillId="0" borderId="9" xfId="0" applyFont="1" applyFill="1" applyBorder="1"/>
    <xf numFmtId="168" fontId="11" fillId="0" borderId="9" xfId="1" applyNumberFormat="1" applyFont="1" applyFill="1" applyBorder="1" applyAlignment="1">
      <alignment horizontal="center" vertical="center"/>
    </xf>
    <xf numFmtId="168" fontId="11" fillId="0" borderId="9" xfId="1" applyNumberFormat="1" applyFont="1" applyFill="1" applyBorder="1" applyAlignment="1">
      <alignment horizontal="center" vertical="center" wrapText="1"/>
    </xf>
    <xf numFmtId="4" fontId="11" fillId="0" borderId="9" xfId="1" applyNumberFormat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/>
    <xf numFmtId="165" fontId="3" fillId="0" borderId="6" xfId="1" applyNumberFormat="1" applyFont="1" applyFill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/>
    </xf>
    <xf numFmtId="165" fontId="11" fillId="0" borderId="9" xfId="2" applyNumberFormat="1" applyFont="1" applyFill="1" applyBorder="1" applyAlignment="1">
      <alignment horizontal="center" vertical="center" wrapText="1"/>
    </xf>
    <xf numFmtId="3" fontId="3" fillId="0" borderId="9" xfId="2" applyNumberFormat="1" applyFont="1" applyFill="1" applyBorder="1" applyAlignment="1">
      <alignment horizontal="center" vertical="center" wrapText="1"/>
    </xf>
    <xf numFmtId="165" fontId="3" fillId="0" borderId="9" xfId="2" applyNumberFormat="1" applyFont="1" applyFill="1" applyBorder="1" applyAlignment="1">
      <alignment horizontal="center" vertical="center" wrapText="1"/>
    </xf>
    <xf numFmtId="169" fontId="3" fillId="0" borderId="9" xfId="1" applyNumberFormat="1" applyFont="1" applyFill="1" applyBorder="1" applyAlignment="1">
      <alignment horizontal="center" vertical="center"/>
    </xf>
    <xf numFmtId="165" fontId="2" fillId="0" borderId="0" xfId="0" applyNumberFormat="1" applyFont="1"/>
    <xf numFmtId="0" fontId="2" fillId="0" borderId="19" xfId="0" applyFont="1" applyFill="1" applyBorder="1"/>
    <xf numFmtId="0" fontId="2" fillId="0" borderId="8" xfId="0" applyFont="1" applyFill="1" applyBorder="1"/>
    <xf numFmtId="166" fontId="2" fillId="0" borderId="8" xfId="0" applyNumberFormat="1" applyFont="1" applyFill="1" applyBorder="1"/>
    <xf numFmtId="2" fontId="11" fillId="0" borderId="8" xfId="1" applyNumberFormat="1" applyFont="1" applyFill="1" applyBorder="1" applyAlignment="1">
      <alignment horizontal="center" vertical="center"/>
    </xf>
    <xf numFmtId="168" fontId="11" fillId="0" borderId="19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6" fontId="12" fillId="0" borderId="8" xfId="0" applyNumberFormat="1" applyFont="1" applyFill="1" applyBorder="1"/>
    <xf numFmtId="167" fontId="3" fillId="0" borderId="11" xfId="1" applyNumberFormat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 wrapText="1"/>
    </xf>
    <xf numFmtId="168" fontId="3" fillId="0" borderId="9" xfId="1" applyNumberFormat="1" applyFont="1" applyFill="1" applyBorder="1" applyAlignment="1">
      <alignment horizontal="center" vertical="center"/>
    </xf>
    <xf numFmtId="165" fontId="2" fillId="0" borderId="0" xfId="0" applyNumberFormat="1" applyFont="1" applyBorder="1"/>
    <xf numFmtId="0" fontId="3" fillId="0" borderId="23" xfId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166" fontId="3" fillId="0" borderId="10" xfId="1" applyNumberFormat="1" applyFont="1" applyFill="1" applyBorder="1" applyAlignment="1">
      <alignment horizontal="center" vertical="center" wrapText="1"/>
    </xf>
    <xf numFmtId="0" fontId="2" fillId="0" borderId="24" xfId="0" applyFont="1" applyFill="1" applyBorder="1"/>
    <xf numFmtId="166" fontId="3" fillId="0" borderId="8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/>
    <xf numFmtId="165" fontId="2" fillId="0" borderId="9" xfId="0" applyNumberFormat="1" applyFont="1" applyFill="1" applyBorder="1"/>
    <xf numFmtId="165" fontId="2" fillId="0" borderId="10" xfId="0" applyNumberFormat="1" applyFont="1" applyFill="1" applyBorder="1"/>
    <xf numFmtId="0" fontId="2" fillId="0" borderId="0" xfId="0" applyFont="1" applyFill="1" applyBorder="1"/>
    <xf numFmtId="165" fontId="11" fillId="0" borderId="0" xfId="1" applyNumberFormat="1" applyFont="1" applyFill="1" applyBorder="1" applyAlignment="1">
      <alignment horizontal="center" vertical="center" wrapText="1"/>
    </xf>
    <xf numFmtId="165" fontId="3" fillId="0" borderId="9" xfId="1" applyNumberFormat="1" applyFont="1" applyFill="1" applyBorder="1" applyAlignment="1">
      <alignment horizontal="center" vertical="center"/>
    </xf>
    <xf numFmtId="165" fontId="3" fillId="0" borderId="8" xfId="1" applyNumberFormat="1" applyFont="1" applyFill="1" applyBorder="1" applyAlignment="1">
      <alignment horizontal="center" vertical="center"/>
    </xf>
    <xf numFmtId="165" fontId="3" fillId="0" borderId="11" xfId="1" applyNumberFormat="1" applyFont="1" applyFill="1" applyBorder="1" applyAlignment="1">
      <alignment horizontal="center" vertical="center"/>
    </xf>
    <xf numFmtId="3" fontId="11" fillId="0" borderId="11" xfId="1" applyNumberFormat="1" applyFont="1" applyFill="1" applyBorder="1" applyAlignment="1">
      <alignment horizontal="center" vertical="center" wrapText="1"/>
    </xf>
    <xf numFmtId="168" fontId="11" fillId="0" borderId="16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169" fontId="3" fillId="0" borderId="8" xfId="1" applyNumberFormat="1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vertical="center" wrapText="1"/>
    </xf>
    <xf numFmtId="0" fontId="3" fillId="0" borderId="18" xfId="2" applyFont="1" applyFill="1" applyBorder="1" applyAlignment="1">
      <alignment horizontal="left" vertical="center" wrapText="1"/>
    </xf>
    <xf numFmtId="170" fontId="11" fillId="0" borderId="8" xfId="1" applyNumberFormat="1" applyFont="1" applyFill="1" applyBorder="1" applyAlignment="1">
      <alignment horizontal="center" vertical="center"/>
    </xf>
    <xf numFmtId="0" fontId="2" fillId="0" borderId="0" xfId="1" applyFill="1" applyBorder="1"/>
    <xf numFmtId="0" fontId="14" fillId="0" borderId="18" xfId="1" applyFont="1" applyFill="1" applyBorder="1" applyAlignment="1">
      <alignment vertical="center" wrapText="1"/>
    </xf>
    <xf numFmtId="0" fontId="14" fillId="0" borderId="10" xfId="2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0" borderId="9" xfId="1" applyFont="1" applyFill="1" applyBorder="1" applyAlignment="1">
      <alignment horizontal="left" vertical="center" wrapText="1"/>
    </xf>
    <xf numFmtId="0" fontId="11" fillId="0" borderId="28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165" fontId="11" fillId="0" borderId="19" xfId="1" applyNumberFormat="1" applyFont="1" applyFill="1" applyBorder="1" applyAlignment="1">
      <alignment horizontal="center" vertical="center" wrapText="1"/>
    </xf>
    <xf numFmtId="3" fontId="11" fillId="0" borderId="17" xfId="1" applyNumberFormat="1" applyFont="1" applyFill="1" applyBorder="1" applyAlignment="1">
      <alignment horizontal="center" vertical="center" wrapText="1"/>
    </xf>
    <xf numFmtId="3" fontId="11" fillId="0" borderId="18" xfId="1" applyNumberFormat="1" applyFont="1" applyFill="1" applyBorder="1" applyAlignment="1">
      <alignment horizontal="center" vertical="center" wrapText="1"/>
    </xf>
    <xf numFmtId="165" fontId="11" fillId="0" borderId="16" xfId="1" applyNumberFormat="1" applyFont="1" applyFill="1" applyBorder="1" applyAlignment="1">
      <alignment horizontal="center" vertical="center" wrapText="1"/>
    </xf>
    <xf numFmtId="168" fontId="11" fillId="0" borderId="10" xfId="1" applyNumberFormat="1" applyFont="1" applyFill="1" applyBorder="1" applyAlignment="1">
      <alignment horizontal="center" vertical="center"/>
    </xf>
    <xf numFmtId="165" fontId="3" fillId="0" borderId="8" xfId="1" applyNumberFormat="1" applyFont="1" applyFill="1" applyBorder="1" applyAlignment="1">
      <alignment horizontal="center" vertical="center" wrapText="1"/>
    </xf>
    <xf numFmtId="168" fontId="3" fillId="0" borderId="9" xfId="1" applyNumberFormat="1" applyFont="1" applyFill="1" applyBorder="1" applyAlignment="1">
      <alignment horizontal="center" vertical="center" wrapText="1"/>
    </xf>
    <xf numFmtId="165" fontId="17" fillId="0" borderId="18" xfId="0" applyNumberFormat="1" applyFont="1" applyFill="1" applyBorder="1" applyAlignment="1">
      <alignment horizontal="center" vertical="center" wrapText="1"/>
    </xf>
    <xf numFmtId="165" fontId="17" fillId="0" borderId="10" xfId="0" applyNumberFormat="1" applyFont="1" applyFill="1" applyBorder="1" applyAlignment="1">
      <alignment horizontal="center" vertical="center" wrapText="1"/>
    </xf>
    <xf numFmtId="0" fontId="11" fillId="0" borderId="32" xfId="1" applyFont="1" applyFill="1" applyBorder="1" applyAlignment="1">
      <alignment horizontal="center" vertical="center" wrapText="1"/>
    </xf>
    <xf numFmtId="1" fontId="4" fillId="0" borderId="34" xfId="4" applyNumberFormat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0" fontId="2" fillId="0" borderId="16" xfId="1" applyFill="1" applyBorder="1"/>
    <xf numFmtId="3" fontId="4" fillId="0" borderId="6" xfId="1" applyNumberFormat="1" applyFont="1" applyFill="1" applyBorder="1" applyAlignment="1">
      <alignment horizontal="center" vertical="center" wrapText="1"/>
    </xf>
    <xf numFmtId="167" fontId="3" fillId="0" borderId="6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/>
    <xf numFmtId="165" fontId="11" fillId="0" borderId="6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/>
    </xf>
    <xf numFmtId="166" fontId="12" fillId="0" borderId="6" xfId="0" applyNumberFormat="1" applyFont="1" applyFill="1" applyBorder="1"/>
    <xf numFmtId="165" fontId="11" fillId="0" borderId="6" xfId="2" applyNumberFormat="1" applyFont="1" applyFill="1" applyBorder="1" applyAlignment="1">
      <alignment horizontal="center" vertical="center" wrapText="1"/>
    </xf>
    <xf numFmtId="165" fontId="3" fillId="0" borderId="6" xfId="2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horizontal="left" vertical="center" wrapText="1"/>
    </xf>
    <xf numFmtId="166" fontId="3" fillId="0" borderId="21" xfId="1" applyNumberFormat="1" applyFont="1" applyFill="1" applyBorder="1" applyAlignment="1">
      <alignment horizontal="center" vertical="center" wrapText="1"/>
    </xf>
    <xf numFmtId="4" fontId="11" fillId="0" borderId="21" xfId="1" applyNumberFormat="1" applyFont="1" applyFill="1" applyBorder="1" applyAlignment="1">
      <alignment horizontal="center" vertical="center" wrapText="1"/>
    </xf>
    <xf numFmtId="165" fontId="3" fillId="0" borderId="21" xfId="1" applyNumberFormat="1" applyFont="1" applyFill="1" applyBorder="1" applyAlignment="1">
      <alignment horizontal="center" vertical="center" wrapText="1"/>
    </xf>
    <xf numFmtId="165" fontId="11" fillId="0" borderId="21" xfId="1" applyNumberFormat="1" applyFont="1" applyFill="1" applyBorder="1" applyAlignment="1">
      <alignment horizontal="center" vertical="center" wrapText="1"/>
    </xf>
    <xf numFmtId="165" fontId="2" fillId="0" borderId="9" xfId="1" applyNumberFormat="1" applyFill="1" applyBorder="1"/>
    <xf numFmtId="171" fontId="2" fillId="0" borderId="0" xfId="0" applyNumberFormat="1" applyFont="1"/>
    <xf numFmtId="166" fontId="11" fillId="0" borderId="7" xfId="1" applyNumberFormat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165" fontId="11" fillId="0" borderId="13" xfId="1" applyNumberFormat="1" applyFont="1" applyFill="1" applyBorder="1" applyAlignment="1">
      <alignment horizontal="center" vertical="center" wrapText="1"/>
    </xf>
    <xf numFmtId="165" fontId="11" fillId="0" borderId="12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165" fontId="11" fillId="0" borderId="37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/>
    <xf numFmtId="0" fontId="2" fillId="0" borderId="38" xfId="0" applyFont="1" applyBorder="1"/>
    <xf numFmtId="172" fontId="3" fillId="0" borderId="9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8" fillId="0" borderId="10" xfId="1" applyFont="1" applyFill="1" applyBorder="1" applyAlignment="1">
      <alignment vertical="center" wrapText="1"/>
    </xf>
    <xf numFmtId="166" fontId="18" fillId="0" borderId="9" xfId="1" applyNumberFormat="1" applyFont="1" applyFill="1" applyBorder="1" applyAlignment="1">
      <alignment horizontal="center" vertical="center" wrapText="1"/>
    </xf>
    <xf numFmtId="4" fontId="19" fillId="0" borderId="9" xfId="1" applyNumberFormat="1" applyFont="1" applyFill="1" applyBorder="1" applyAlignment="1">
      <alignment horizontal="center" vertical="center" wrapText="1"/>
    </xf>
    <xf numFmtId="165" fontId="18" fillId="0" borderId="9" xfId="1" applyNumberFormat="1" applyFont="1" applyFill="1" applyBorder="1" applyAlignment="1">
      <alignment horizontal="center" vertical="center" wrapText="1"/>
    </xf>
    <xf numFmtId="0" fontId="18" fillId="0" borderId="14" xfId="1" applyFont="1" applyFill="1" applyBorder="1" applyAlignment="1">
      <alignment vertical="center" wrapText="1"/>
    </xf>
    <xf numFmtId="166" fontId="18" fillId="0" borderId="13" xfId="1" applyNumberFormat="1" applyFont="1" applyFill="1" applyBorder="1" applyAlignment="1">
      <alignment horizontal="center" vertical="center" wrapText="1"/>
    </xf>
    <xf numFmtId="4" fontId="19" fillId="0" borderId="13" xfId="1" applyNumberFormat="1" applyFont="1" applyFill="1" applyBorder="1" applyAlignment="1">
      <alignment horizontal="center" vertical="center" wrapText="1"/>
    </xf>
    <xf numFmtId="165" fontId="18" fillId="0" borderId="13" xfId="1" applyNumberFormat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vertical="center" wrapText="1"/>
    </xf>
    <xf numFmtId="173" fontId="2" fillId="0" borderId="0" xfId="0" applyNumberFormat="1" applyFont="1"/>
    <xf numFmtId="166" fontId="11" fillId="0" borderId="0" xfId="1" applyNumberFormat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5" xfId="3"/>
    <cellStyle name="Обычный 2" xfId="5"/>
    <cellStyle name="Обычный_219-пп_Приложение 2" xfId="4"/>
    <cellStyle name="Обычный_ВЫПОЛНЕНИЕ программы ИЖС-2010 год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198"/>
  <sheetViews>
    <sheetView tabSelected="1" topLeftCell="A164" zoomScale="75" zoomScaleNormal="75" zoomScaleSheetLayoutView="75" workbookViewId="0">
      <selection activeCell="Q186" sqref="A5:Q186"/>
    </sheetView>
  </sheetViews>
  <sheetFormatPr defaultColWidth="9.140625" defaultRowHeight="18.75"/>
  <cols>
    <col min="1" max="1" width="6.5703125" style="157" customWidth="1"/>
    <col min="2" max="2" width="59.28515625" style="1" customWidth="1"/>
    <col min="3" max="4" width="12" style="1" customWidth="1"/>
    <col min="5" max="5" width="17" style="1" customWidth="1"/>
    <col min="6" max="6" width="18.5703125" style="1" customWidth="1"/>
    <col min="7" max="7" width="15.7109375" style="1" customWidth="1"/>
    <col min="8" max="8" width="12.28515625" style="1" customWidth="1"/>
    <col min="9" max="9" width="9.85546875" style="1" customWidth="1"/>
    <col min="10" max="10" width="17.28515625" style="1" customWidth="1"/>
    <col min="11" max="11" width="15.7109375" style="1" customWidth="1"/>
    <col min="12" max="12" width="13.140625" style="1" customWidth="1"/>
    <col min="13" max="14" width="10.28515625" style="1" customWidth="1"/>
    <col min="15" max="15" width="17.140625" style="1" customWidth="1"/>
    <col min="16" max="16" width="16" style="1" customWidth="1"/>
    <col min="17" max="17" width="13.140625" style="1" customWidth="1"/>
    <col min="18" max="18" width="9" style="1" hidden="1" customWidth="1"/>
    <col min="19" max="19" width="9.7109375" style="1" hidden="1" customWidth="1"/>
    <col min="20" max="21" width="15.5703125" style="1" hidden="1" customWidth="1"/>
    <col min="22" max="22" width="12.7109375" style="1" hidden="1" customWidth="1"/>
    <col min="23" max="23" width="16.5703125" style="1" hidden="1" customWidth="1"/>
    <col min="24" max="24" width="14.42578125" style="1" hidden="1" customWidth="1"/>
    <col min="25" max="25" width="9.140625" style="1" hidden="1" customWidth="1"/>
    <col min="26" max="26" width="17" style="1" hidden="1" customWidth="1"/>
    <col min="27" max="38" width="9.140625" style="1" customWidth="1"/>
    <col min="39" max="42" width="9.140625" style="31" customWidth="1"/>
    <col min="43" max="16384" width="9.140625" style="2"/>
  </cols>
  <sheetData>
    <row r="1" spans="1:44" ht="88.5" customHeight="1">
      <c r="A1" s="49"/>
      <c r="B1" s="52"/>
      <c r="C1" s="174"/>
      <c r="D1" s="174"/>
      <c r="E1" s="174"/>
      <c r="F1" s="174"/>
      <c r="G1" s="174"/>
      <c r="H1" s="152"/>
      <c r="I1" s="153"/>
      <c r="J1" s="153"/>
      <c r="K1" s="186" t="s">
        <v>80</v>
      </c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4" ht="22.5" customHeight="1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4" ht="66" customHeight="1">
      <c r="A3" s="188" t="s">
        <v>158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4" ht="27.2" customHeight="1" thickBot="1">
      <c r="A4" s="49"/>
      <c r="B4" s="52"/>
      <c r="C4" s="106"/>
      <c r="D4" s="106"/>
      <c r="E4" s="106"/>
      <c r="F4" s="106"/>
      <c r="G4" s="106"/>
      <c r="H4" s="106"/>
      <c r="I4" s="106"/>
      <c r="J4" s="106"/>
      <c r="K4" s="106"/>
      <c r="L4" s="88"/>
      <c r="M4" s="88"/>
      <c r="N4" s="88"/>
      <c r="O4" s="88"/>
      <c r="P4" s="88"/>
      <c r="Q4" s="88"/>
      <c r="R4" s="82"/>
      <c r="S4" s="82"/>
      <c r="T4" s="82"/>
      <c r="U4" s="82"/>
      <c r="V4" s="8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4" s="3" customFormat="1" ht="27.75" customHeight="1">
      <c r="A5" s="189" t="s">
        <v>0</v>
      </c>
      <c r="B5" s="191" t="s">
        <v>185</v>
      </c>
      <c r="C5" s="193" t="s">
        <v>30</v>
      </c>
      <c r="D5" s="193"/>
      <c r="E5" s="193"/>
      <c r="F5" s="193"/>
      <c r="G5" s="193"/>
      <c r="H5" s="193" t="s">
        <v>37</v>
      </c>
      <c r="I5" s="193"/>
      <c r="J5" s="193"/>
      <c r="K5" s="193"/>
      <c r="L5" s="193"/>
      <c r="M5" s="193" t="s">
        <v>38</v>
      </c>
      <c r="N5" s="193"/>
      <c r="O5" s="193"/>
      <c r="P5" s="193"/>
      <c r="Q5" s="194"/>
      <c r="R5" s="195" t="s">
        <v>39</v>
      </c>
      <c r="S5" s="195"/>
      <c r="T5" s="195"/>
      <c r="U5" s="195"/>
      <c r="V5" s="196"/>
      <c r="W5" s="2"/>
      <c r="X5" s="2"/>
      <c r="Y5" s="2"/>
      <c r="Z5" s="2"/>
      <c r="AA5" s="2"/>
      <c r="AB5" s="2" t="s">
        <v>25</v>
      </c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s="4" customFormat="1" ht="29.25" customHeight="1">
      <c r="A6" s="190"/>
      <c r="B6" s="192"/>
      <c r="C6" s="179" t="s">
        <v>32</v>
      </c>
      <c r="D6" s="179"/>
      <c r="E6" s="179" t="s">
        <v>2</v>
      </c>
      <c r="F6" s="179" t="s">
        <v>1</v>
      </c>
      <c r="G6" s="179"/>
      <c r="H6" s="179" t="s">
        <v>32</v>
      </c>
      <c r="I6" s="179"/>
      <c r="J6" s="179" t="s">
        <v>2</v>
      </c>
      <c r="K6" s="179" t="s">
        <v>1</v>
      </c>
      <c r="L6" s="179"/>
      <c r="M6" s="179" t="s">
        <v>32</v>
      </c>
      <c r="N6" s="179"/>
      <c r="O6" s="179" t="s">
        <v>2</v>
      </c>
      <c r="P6" s="179" t="s">
        <v>1</v>
      </c>
      <c r="Q6" s="180"/>
      <c r="R6" s="197" t="s">
        <v>32</v>
      </c>
      <c r="S6" s="198"/>
      <c r="T6" s="179" t="s">
        <v>22</v>
      </c>
      <c r="U6" s="192" t="s">
        <v>1</v>
      </c>
      <c r="V6" s="200"/>
      <c r="W6" s="53"/>
      <c r="X6" s="53"/>
      <c r="Y6" s="53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s="4" customFormat="1" ht="76.5" customHeight="1" thickBot="1">
      <c r="A7" s="190"/>
      <c r="B7" s="192"/>
      <c r="C7" s="176" t="s">
        <v>33</v>
      </c>
      <c r="D7" s="176" t="s">
        <v>34</v>
      </c>
      <c r="E7" s="179"/>
      <c r="F7" s="176" t="s">
        <v>27</v>
      </c>
      <c r="G7" s="176" t="s">
        <v>3</v>
      </c>
      <c r="H7" s="176" t="s">
        <v>33</v>
      </c>
      <c r="I7" s="176" t="s">
        <v>34</v>
      </c>
      <c r="J7" s="179"/>
      <c r="K7" s="176" t="s">
        <v>28</v>
      </c>
      <c r="L7" s="176" t="s">
        <v>3</v>
      </c>
      <c r="M7" s="176" t="s">
        <v>33</v>
      </c>
      <c r="N7" s="176" t="s">
        <v>34</v>
      </c>
      <c r="O7" s="179"/>
      <c r="P7" s="175" t="s">
        <v>27</v>
      </c>
      <c r="Q7" s="177" t="s">
        <v>3</v>
      </c>
      <c r="R7" s="80" t="s">
        <v>33</v>
      </c>
      <c r="S7" s="80" t="s">
        <v>34</v>
      </c>
      <c r="T7" s="199"/>
      <c r="U7" s="5" t="s">
        <v>29</v>
      </c>
      <c r="V7" s="95" t="s">
        <v>3</v>
      </c>
      <c r="W7" s="53"/>
      <c r="X7" s="53"/>
      <c r="Y7" s="53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s="6" customFormat="1" ht="27.75" customHeight="1" thickBot="1">
      <c r="A8" s="112">
        <v>1</v>
      </c>
      <c r="B8" s="113">
        <v>2</v>
      </c>
      <c r="C8" s="113">
        <v>3</v>
      </c>
      <c r="D8" s="113">
        <v>4</v>
      </c>
      <c r="E8" s="113">
        <v>5</v>
      </c>
      <c r="F8" s="113">
        <v>6</v>
      </c>
      <c r="G8" s="113">
        <v>7</v>
      </c>
      <c r="H8" s="113">
        <v>8</v>
      </c>
      <c r="I8" s="113">
        <v>9</v>
      </c>
      <c r="J8" s="113">
        <v>10</v>
      </c>
      <c r="K8" s="113">
        <v>11</v>
      </c>
      <c r="L8" s="113">
        <v>12</v>
      </c>
      <c r="M8" s="113">
        <v>13</v>
      </c>
      <c r="N8" s="113">
        <v>14</v>
      </c>
      <c r="O8" s="113">
        <v>15</v>
      </c>
      <c r="P8" s="124">
        <v>16</v>
      </c>
      <c r="Q8" s="114">
        <v>17</v>
      </c>
      <c r="R8" s="78">
        <v>22</v>
      </c>
      <c r="S8" s="78">
        <v>23</v>
      </c>
      <c r="T8" s="75">
        <v>24</v>
      </c>
      <c r="U8" s="96">
        <v>25</v>
      </c>
      <c r="V8" s="97">
        <v>26</v>
      </c>
      <c r="W8" s="53"/>
      <c r="X8" s="53"/>
      <c r="Y8" s="5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s="109" customFormat="1" ht="52.5" customHeight="1">
      <c r="A9" s="181" t="s">
        <v>40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3"/>
      <c r="R9" s="49"/>
      <c r="S9" s="49"/>
      <c r="T9" s="49"/>
      <c r="U9" s="49"/>
      <c r="V9" s="49"/>
      <c r="W9" s="88"/>
      <c r="X9" s="88"/>
      <c r="Y9" s="88"/>
      <c r="Z9" s="88" t="s">
        <v>26</v>
      </c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</row>
    <row r="10" spans="1:44" s="109" customFormat="1" ht="36.75" customHeight="1">
      <c r="A10" s="125"/>
      <c r="B10" s="184" t="s">
        <v>41</v>
      </c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5"/>
      <c r="R10" s="49"/>
      <c r="S10" s="49"/>
      <c r="T10" s="49"/>
      <c r="U10" s="49"/>
      <c r="V10" s="49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</row>
    <row r="11" spans="1:44" s="110" customFormat="1" ht="36" customHeight="1">
      <c r="A11" s="126"/>
      <c r="B11" s="111" t="s">
        <v>4</v>
      </c>
      <c r="C11" s="39">
        <f>C15+C28+C50+C56+C67+C79+C90+C94+C99+C105+C130+C135+C138+C150+C154+C160+C170</f>
        <v>101.67399999999999</v>
      </c>
      <c r="D11" s="39">
        <f>D15+D28+D50+D56+D67+D79+D90+D94+D99+D105+D130+D135+D138+D150+D154+D160+D170</f>
        <v>0</v>
      </c>
      <c r="E11" s="39">
        <f>E15+E28+E50+E56+E67+E79+E90+E94+E99+E105+E130+E135+E138+E150+E154+E160+E170</f>
        <v>1911285.7490300001</v>
      </c>
      <c r="F11" s="39">
        <f>F15+F28+F50+F56+F67+F79+F90+F94+F99+F105+F130+F135+F138+F150+F154+F160+F170</f>
        <v>1791439.670005</v>
      </c>
      <c r="G11" s="39">
        <f>G15+G28+G50+G56+G67+G79+G90+G94+G99+G105+G130+G135+G138+G150+G154+G160+G170-0.1</f>
        <v>119845.97902499999</v>
      </c>
      <c r="H11" s="39">
        <f>H15+H28+H50+H56+H67+H79+H90+H94+H99+H105+H130+H135+H138+H150+H154+H160+H170</f>
        <v>67.454000000000008</v>
      </c>
      <c r="I11" s="39">
        <f>I15+I28+I50+I56+I67+I79+I90+I94+I99+I105+I130+I135+I138+I150+I154+I160+I170</f>
        <v>343.3</v>
      </c>
      <c r="J11" s="39">
        <f>J15+J28+J50+J56+J67+J79+J90+J94+J99+J105+J130+J135+J138+J150+J154+J160+J170</f>
        <v>1331848.6090199999</v>
      </c>
      <c r="K11" s="39">
        <f>K15+K28+K50+K56+K67+K79+K90+K94+K99+K105+K130+K135+K138+K150+K154+K160+K170</f>
        <v>1249395.3254788001</v>
      </c>
      <c r="L11" s="39">
        <f>L15+L28+L50+L56+L67+L79+L90+L94+L99+L105+L130+L135+L138+L150+L154+L160+L170</f>
        <v>82453.283541200028</v>
      </c>
      <c r="M11" s="39"/>
      <c r="N11" s="39"/>
      <c r="O11" s="39"/>
      <c r="P11" s="39"/>
      <c r="Q11" s="127"/>
      <c r="R11" s="84" t="e">
        <f>R15+R28+R50+R56+R65+R67+R79+R81+R90+R94+R99+R105+R130+R135+R138+R150+R152+R154+#REF!+#REF!+R160+R170</f>
        <v>#REF!</v>
      </c>
      <c r="S11" s="84" t="e">
        <f>S15+S28+S50+S56+S65+S67+S79+S81+S90+S94+S99+S105+S130+S135+S138+S150+S152+S154+#REF!+#REF!+S160+S170</f>
        <v>#REF!</v>
      </c>
      <c r="T11" s="84" t="e">
        <f>T15+T28+T50+T56+T65+T67+T79+T81+T90+T94+T99+T105+T130+T135+T138+T150+T152+T154+#REF!+#REF!+T160+T170</f>
        <v>#REF!</v>
      </c>
      <c r="U11" s="84" t="e">
        <f>U15+U28+U50+U56+U65+U67+U79+U81+U90+U94+U99+U105+U130+U135+U138+U150+U152+U154+#REF!+#REF!+U160+U170</f>
        <v>#REF!</v>
      </c>
      <c r="V11" s="84" t="e">
        <f>V15+V28+V50+V56+V65+V67+V79+V81+V90+V94+V99+V105+V130+V135+V138+V150+V152+V154+#REF!+#REF!+V160+V170</f>
        <v>#REF!</v>
      </c>
      <c r="W11" s="84" t="e">
        <f>E11-#REF!</f>
        <v>#REF!</v>
      </c>
      <c r="X11" s="84" t="e">
        <f>F11-#REF!</f>
        <v>#REF!</v>
      </c>
      <c r="Y11" s="84"/>
      <c r="Z11" s="84" t="e">
        <f>G11-#REF!</f>
        <v>#REF!</v>
      </c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</row>
    <row r="12" spans="1:44" ht="32.25" customHeight="1">
      <c r="A12" s="7"/>
      <c r="B12" s="107" t="s">
        <v>5</v>
      </c>
      <c r="C12" s="8"/>
      <c r="D12" s="8"/>
      <c r="E12" s="8"/>
      <c r="F12" s="8"/>
      <c r="G12" s="8"/>
      <c r="H12" s="9"/>
      <c r="I12" s="9"/>
      <c r="J12" s="9"/>
      <c r="K12" s="9"/>
      <c r="L12" s="9"/>
      <c r="M12" s="8"/>
      <c r="N12" s="8"/>
      <c r="O12" s="8"/>
      <c r="P12" s="8"/>
      <c r="Q12" s="128"/>
      <c r="R12" s="67"/>
      <c r="S12" s="67"/>
      <c r="T12" s="9"/>
      <c r="U12" s="36"/>
      <c r="V12" s="10"/>
      <c r="W12" s="53"/>
      <c r="X12" s="53"/>
      <c r="Y12" s="5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4" s="3" customFormat="1" ht="36" customHeight="1">
      <c r="A13" s="11"/>
      <c r="B13" s="108" t="s">
        <v>35</v>
      </c>
      <c r="C13" s="79"/>
      <c r="D13" s="79"/>
      <c r="E13" s="39"/>
      <c r="F13" s="39">
        <f>F15+F28+F50+F56+F67+F79+F90+F94+F99+F105+F130+F135+F138+F150+F154+F160+F170</f>
        <v>1791439.670005</v>
      </c>
      <c r="G13" s="39"/>
      <c r="H13" s="39"/>
      <c r="I13" s="39"/>
      <c r="J13" s="39"/>
      <c r="K13" s="39">
        <f>K15+K28+K50+K56+K67+K79+K90+K94+K99+K105+K130+K135+K138+K150+K154+K160+K170</f>
        <v>1249395.3254788001</v>
      </c>
      <c r="L13" s="39"/>
      <c r="M13" s="79"/>
      <c r="N13" s="79"/>
      <c r="O13" s="39"/>
      <c r="P13" s="39"/>
      <c r="Q13" s="127"/>
      <c r="R13" s="68"/>
      <c r="S13" s="68"/>
      <c r="T13" s="54"/>
      <c r="U13" s="32"/>
      <c r="V13" s="15"/>
      <c r="W13" s="53"/>
      <c r="X13" s="53"/>
      <c r="Y13" s="5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s="3" customFormat="1" ht="48.75" customHeight="1">
      <c r="A14" s="11"/>
      <c r="B14" s="108" t="s">
        <v>36</v>
      </c>
      <c r="C14" s="40"/>
      <c r="D14" s="40"/>
      <c r="E14" s="40"/>
      <c r="F14" s="40"/>
      <c r="G14" s="39">
        <f>G15+G28+G50+G56+G67+G79+G90+G94+G99+G105+G130+G135+G138+G150+G154+G160+G170-0.1</f>
        <v>119845.97902499999</v>
      </c>
      <c r="H14" s="41"/>
      <c r="I14" s="41"/>
      <c r="J14" s="41"/>
      <c r="K14" s="41"/>
      <c r="L14" s="39">
        <f>L15+L28+L50+L56+L67+L79+L90+L94+L99+L105+L130+L135+L138+L150+L154+L160+L170</f>
        <v>82453.283541200028</v>
      </c>
      <c r="M14" s="40"/>
      <c r="N14" s="40"/>
      <c r="O14" s="40"/>
      <c r="P14" s="40"/>
      <c r="Q14" s="129"/>
      <c r="R14" s="19"/>
      <c r="S14" s="19"/>
      <c r="T14" s="14"/>
      <c r="U14" s="12"/>
      <c r="V14" s="15"/>
      <c r="W14" s="53"/>
      <c r="X14" s="53"/>
      <c r="Y14" s="53"/>
      <c r="Z14" s="2"/>
      <c r="AA14" s="2" t="s">
        <v>25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s="3" customFormat="1" ht="33" customHeight="1">
      <c r="A15" s="11"/>
      <c r="B15" s="99" t="s">
        <v>186</v>
      </c>
      <c r="C15" s="16">
        <f>C16</f>
        <v>10.3</v>
      </c>
      <c r="D15" s="14"/>
      <c r="E15" s="16">
        <f>E16</f>
        <v>237999.99999999997</v>
      </c>
      <c r="F15" s="16">
        <f t="shared" ref="F15:G15" si="0">F16</f>
        <v>223719.99999999997</v>
      </c>
      <c r="G15" s="22">
        <f t="shared" si="0"/>
        <v>14280.000000000007</v>
      </c>
      <c r="H15" s="16"/>
      <c r="I15" s="16"/>
      <c r="J15" s="16"/>
      <c r="K15" s="16"/>
      <c r="L15" s="16"/>
      <c r="M15" s="16"/>
      <c r="N15" s="16"/>
      <c r="O15" s="16"/>
      <c r="P15" s="16"/>
      <c r="Q15" s="18"/>
      <c r="R15" s="17">
        <v>10.3</v>
      </c>
      <c r="S15" s="16"/>
      <c r="T15" s="16">
        <v>238000</v>
      </c>
      <c r="U15" s="16">
        <v>223720</v>
      </c>
      <c r="V15" s="18">
        <f>T15-U15</f>
        <v>14280</v>
      </c>
      <c r="W15" s="51"/>
      <c r="X15" s="53"/>
      <c r="Y15" s="5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s="3" customFormat="1" ht="46.5" customHeight="1">
      <c r="A16" s="24"/>
      <c r="B16" s="100" t="s">
        <v>71</v>
      </c>
      <c r="C16" s="42">
        <f>SUM(C17:C27)</f>
        <v>10.3</v>
      </c>
      <c r="D16" s="25"/>
      <c r="E16" s="46">
        <f>SUM(E17:E27)</f>
        <v>237999.99999999997</v>
      </c>
      <c r="F16" s="46">
        <f>SUM(F17:F27)</f>
        <v>223719.99999999997</v>
      </c>
      <c r="G16" s="58">
        <f>SUM(G17:G27)</f>
        <v>14280.000000000007</v>
      </c>
      <c r="H16" s="46"/>
      <c r="I16" s="27"/>
      <c r="J16" s="27"/>
      <c r="K16" s="27"/>
      <c r="L16" s="27"/>
      <c r="M16" s="27"/>
      <c r="N16" s="27"/>
      <c r="O16" s="27"/>
      <c r="P16" s="27"/>
      <c r="Q16" s="130"/>
      <c r="R16" s="83">
        <v>10.3</v>
      </c>
      <c r="S16" s="46"/>
      <c r="T16" s="46">
        <v>238000</v>
      </c>
      <c r="U16" s="46">
        <v>223720</v>
      </c>
      <c r="V16" s="60">
        <f>T16-U16</f>
        <v>14280</v>
      </c>
      <c r="W16" s="53"/>
      <c r="X16" s="53"/>
      <c r="Y16" s="5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s="3" customFormat="1" ht="30" customHeight="1">
      <c r="A17" s="24">
        <v>1</v>
      </c>
      <c r="B17" s="100" t="s">
        <v>92</v>
      </c>
      <c r="C17" s="42">
        <v>2.0990000000000002</v>
      </c>
      <c r="D17" s="25"/>
      <c r="E17" s="46">
        <v>29502.191490000001</v>
      </c>
      <c r="F17" s="46">
        <f>E17*0.94</f>
        <v>27732.060000599999</v>
      </c>
      <c r="G17" s="58">
        <f>E17-F17</f>
        <v>1770.1314894000025</v>
      </c>
      <c r="H17" s="46"/>
      <c r="I17" s="27"/>
      <c r="J17" s="27"/>
      <c r="K17" s="27"/>
      <c r="L17" s="27"/>
      <c r="M17" s="27"/>
      <c r="N17" s="27"/>
      <c r="O17" s="27"/>
      <c r="P17" s="27"/>
      <c r="Q17" s="130"/>
      <c r="R17" s="83"/>
      <c r="S17" s="120"/>
      <c r="T17" s="46"/>
      <c r="U17" s="58"/>
      <c r="V17" s="60"/>
      <c r="W17" s="53"/>
      <c r="X17" s="53"/>
      <c r="Y17" s="5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s="3" customFormat="1" ht="30" customHeight="1">
      <c r="A18" s="24">
        <v>2</v>
      </c>
      <c r="B18" s="100" t="s">
        <v>62</v>
      </c>
      <c r="C18" s="42">
        <v>1.54</v>
      </c>
      <c r="D18" s="25"/>
      <c r="E18" s="46">
        <v>59025.596689999998</v>
      </c>
      <c r="F18" s="46">
        <f t="shared" ref="F18:F27" si="1">E18*0.94</f>
        <v>55484.060888599997</v>
      </c>
      <c r="G18" s="58">
        <f t="shared" ref="G18:G27" si="2">E18-F18</f>
        <v>3541.5358014000012</v>
      </c>
      <c r="H18" s="46"/>
      <c r="I18" s="27"/>
      <c r="J18" s="27"/>
      <c r="K18" s="27"/>
      <c r="L18" s="27"/>
      <c r="M18" s="27"/>
      <c r="N18" s="27"/>
      <c r="O18" s="27"/>
      <c r="P18" s="27"/>
      <c r="Q18" s="130"/>
      <c r="R18" s="83"/>
      <c r="S18" s="120"/>
      <c r="T18" s="46"/>
      <c r="U18" s="58"/>
      <c r="V18" s="60"/>
      <c r="W18" s="53"/>
      <c r="X18" s="53"/>
      <c r="Y18" s="5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s="3" customFormat="1" ht="30" customHeight="1">
      <c r="A19" s="24">
        <v>3</v>
      </c>
      <c r="B19" s="100" t="s">
        <v>63</v>
      </c>
      <c r="C19" s="42">
        <v>1.224</v>
      </c>
      <c r="D19" s="25"/>
      <c r="E19" s="46">
        <v>10694.377909999999</v>
      </c>
      <c r="F19" s="46">
        <f t="shared" si="1"/>
        <v>10052.715235399999</v>
      </c>
      <c r="G19" s="58">
        <f t="shared" si="2"/>
        <v>641.66267460000017</v>
      </c>
      <c r="H19" s="46"/>
      <c r="I19" s="27"/>
      <c r="J19" s="27"/>
      <c r="K19" s="27"/>
      <c r="L19" s="27"/>
      <c r="M19" s="27"/>
      <c r="N19" s="27"/>
      <c r="O19" s="27"/>
      <c r="P19" s="27"/>
      <c r="Q19" s="130"/>
      <c r="R19" s="83"/>
      <c r="S19" s="120"/>
      <c r="T19" s="46"/>
      <c r="U19" s="58"/>
      <c r="V19" s="60"/>
      <c r="W19" s="53"/>
      <c r="X19" s="53"/>
      <c r="Y19" s="5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s="3" customFormat="1" ht="30" customHeight="1">
      <c r="A20" s="24">
        <v>4</v>
      </c>
      <c r="B20" s="100" t="s">
        <v>64</v>
      </c>
      <c r="C20" s="42">
        <v>0.77700000000000002</v>
      </c>
      <c r="D20" s="25"/>
      <c r="E20" s="46">
        <v>6356.2148500000003</v>
      </c>
      <c r="F20" s="46">
        <f t="shared" si="1"/>
        <v>5974.8419590000003</v>
      </c>
      <c r="G20" s="58">
        <f t="shared" si="2"/>
        <v>381.37289099999998</v>
      </c>
      <c r="H20" s="46"/>
      <c r="I20" s="27"/>
      <c r="J20" s="27"/>
      <c r="K20" s="27"/>
      <c r="L20" s="27"/>
      <c r="M20" s="27"/>
      <c r="N20" s="27"/>
      <c r="O20" s="27"/>
      <c r="P20" s="27"/>
      <c r="Q20" s="130"/>
      <c r="R20" s="83"/>
      <c r="S20" s="120"/>
      <c r="T20" s="46"/>
      <c r="U20" s="58"/>
      <c r="V20" s="60"/>
      <c r="W20" s="53"/>
      <c r="X20" s="53"/>
      <c r="Y20" s="5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s="3" customFormat="1" ht="30" customHeight="1">
      <c r="A21" s="24">
        <v>5</v>
      </c>
      <c r="B21" s="100" t="s">
        <v>83</v>
      </c>
      <c r="C21" s="42">
        <v>0.62</v>
      </c>
      <c r="D21" s="25"/>
      <c r="E21" s="46">
        <v>9289.8690000000006</v>
      </c>
      <c r="F21" s="46">
        <f t="shared" si="1"/>
        <v>8732.4768600000007</v>
      </c>
      <c r="G21" s="58">
        <f t="shared" si="2"/>
        <v>557.39213999999993</v>
      </c>
      <c r="H21" s="46"/>
      <c r="I21" s="27"/>
      <c r="J21" s="27"/>
      <c r="K21" s="27"/>
      <c r="L21" s="27"/>
      <c r="M21" s="27"/>
      <c r="N21" s="27"/>
      <c r="O21" s="27"/>
      <c r="P21" s="27"/>
      <c r="Q21" s="130"/>
      <c r="R21" s="83"/>
      <c r="S21" s="120"/>
      <c r="T21" s="46"/>
      <c r="U21" s="58"/>
      <c r="V21" s="60"/>
      <c r="W21" s="53"/>
      <c r="X21" s="53"/>
      <c r="Y21" s="5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s="3" customFormat="1" ht="30" customHeight="1">
      <c r="A22" s="24">
        <v>6</v>
      </c>
      <c r="B22" s="100" t="s">
        <v>65</v>
      </c>
      <c r="C22" s="42">
        <v>0.86699999999999999</v>
      </c>
      <c r="D22" s="25"/>
      <c r="E22" s="46">
        <v>9339.10707</v>
      </c>
      <c r="F22" s="46">
        <f t="shared" si="1"/>
        <v>8778.7606457999991</v>
      </c>
      <c r="G22" s="58">
        <f t="shared" si="2"/>
        <v>560.34642420000091</v>
      </c>
      <c r="H22" s="46"/>
      <c r="I22" s="27"/>
      <c r="J22" s="27"/>
      <c r="K22" s="27"/>
      <c r="L22" s="27"/>
      <c r="M22" s="27"/>
      <c r="N22" s="27"/>
      <c r="O22" s="27"/>
      <c r="P22" s="27"/>
      <c r="Q22" s="130"/>
      <c r="R22" s="83"/>
      <c r="S22" s="120"/>
      <c r="T22" s="46"/>
      <c r="U22" s="58"/>
      <c r="V22" s="60"/>
      <c r="W22" s="53"/>
      <c r="X22" s="53"/>
      <c r="Y22" s="5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s="3" customFormat="1" ht="30" customHeight="1">
      <c r="A23" s="24">
        <v>7</v>
      </c>
      <c r="B23" s="100" t="s">
        <v>66</v>
      </c>
      <c r="C23" s="42">
        <v>0.68100000000000005</v>
      </c>
      <c r="D23" s="25"/>
      <c r="E23" s="46">
        <v>10725.01888</v>
      </c>
      <c r="F23" s="46">
        <f t="shared" si="1"/>
        <v>10081.5177472</v>
      </c>
      <c r="G23" s="58">
        <f t="shared" si="2"/>
        <v>643.50113280000005</v>
      </c>
      <c r="H23" s="46"/>
      <c r="I23" s="27"/>
      <c r="J23" s="27"/>
      <c r="K23" s="27"/>
      <c r="L23" s="27"/>
      <c r="M23" s="27"/>
      <c r="N23" s="27"/>
      <c r="O23" s="27"/>
      <c r="P23" s="27"/>
      <c r="Q23" s="130"/>
      <c r="R23" s="83"/>
      <c r="S23" s="120"/>
      <c r="T23" s="46"/>
      <c r="U23" s="58"/>
      <c r="V23" s="60"/>
      <c r="W23" s="53"/>
      <c r="X23" s="53"/>
      <c r="Y23" s="5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s="3" customFormat="1" ht="30" customHeight="1">
      <c r="A24" s="24">
        <v>8</v>
      </c>
      <c r="B24" s="100" t="s">
        <v>81</v>
      </c>
      <c r="C24" s="42">
        <v>0.57999999999999996</v>
      </c>
      <c r="D24" s="25"/>
      <c r="E24" s="46">
        <v>30012.859909999999</v>
      </c>
      <c r="F24" s="46">
        <f t="shared" si="1"/>
        <v>28212.088315399997</v>
      </c>
      <c r="G24" s="58">
        <f t="shared" si="2"/>
        <v>1800.7715946000026</v>
      </c>
      <c r="H24" s="46"/>
      <c r="I24" s="27"/>
      <c r="J24" s="27"/>
      <c r="K24" s="27"/>
      <c r="L24" s="27"/>
      <c r="M24" s="27"/>
      <c r="N24" s="27"/>
      <c r="O24" s="27"/>
      <c r="P24" s="27"/>
      <c r="Q24" s="130"/>
      <c r="R24" s="83"/>
      <c r="S24" s="120"/>
      <c r="T24" s="46"/>
      <c r="U24" s="58"/>
      <c r="V24" s="60"/>
      <c r="W24" s="53"/>
      <c r="X24" s="53"/>
      <c r="Y24" s="5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s="3" customFormat="1" ht="30" customHeight="1">
      <c r="A25" s="24">
        <v>9</v>
      </c>
      <c r="B25" s="100" t="s">
        <v>82</v>
      </c>
      <c r="C25" s="42">
        <v>0.63700000000000001</v>
      </c>
      <c r="D25" s="25"/>
      <c r="E25" s="46">
        <v>41026.149799999999</v>
      </c>
      <c r="F25" s="46">
        <f t="shared" si="1"/>
        <v>38564.580812</v>
      </c>
      <c r="G25" s="58">
        <f t="shared" si="2"/>
        <v>2461.5689879999991</v>
      </c>
      <c r="H25" s="46"/>
      <c r="I25" s="27"/>
      <c r="J25" s="27"/>
      <c r="K25" s="27"/>
      <c r="L25" s="27"/>
      <c r="M25" s="27"/>
      <c r="N25" s="27"/>
      <c r="O25" s="27"/>
      <c r="P25" s="27"/>
      <c r="Q25" s="130"/>
      <c r="R25" s="83"/>
      <c r="S25" s="120"/>
      <c r="T25" s="46"/>
      <c r="U25" s="58"/>
      <c r="V25" s="60"/>
      <c r="W25" s="53"/>
      <c r="X25" s="53"/>
      <c r="Y25" s="5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s="3" customFormat="1" ht="30" customHeight="1">
      <c r="A26" s="24">
        <v>10</v>
      </c>
      <c r="B26" s="100" t="s">
        <v>67</v>
      </c>
      <c r="C26" s="42">
        <v>0.77500000000000002</v>
      </c>
      <c r="D26" s="25"/>
      <c r="E26" s="46">
        <v>24048.283049999998</v>
      </c>
      <c r="F26" s="46">
        <f t="shared" si="1"/>
        <v>22605.386066999996</v>
      </c>
      <c r="G26" s="58">
        <f t="shared" si="2"/>
        <v>1442.8969830000024</v>
      </c>
      <c r="H26" s="46"/>
      <c r="I26" s="27"/>
      <c r="J26" s="27"/>
      <c r="K26" s="27"/>
      <c r="L26" s="27"/>
      <c r="M26" s="27"/>
      <c r="N26" s="27"/>
      <c r="O26" s="27"/>
      <c r="P26" s="27"/>
      <c r="Q26" s="130"/>
      <c r="R26" s="83"/>
      <c r="S26" s="120"/>
      <c r="T26" s="46"/>
      <c r="U26" s="58"/>
      <c r="V26" s="60"/>
      <c r="W26" s="53"/>
      <c r="X26" s="53"/>
      <c r="Y26" s="5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s="3" customFormat="1" ht="30" customHeight="1">
      <c r="A27" s="24">
        <v>11</v>
      </c>
      <c r="B27" s="100" t="s">
        <v>93</v>
      </c>
      <c r="C27" s="42">
        <v>0.5</v>
      </c>
      <c r="D27" s="25"/>
      <c r="E27" s="46">
        <v>7980.3313500000004</v>
      </c>
      <c r="F27" s="46">
        <f t="shared" si="1"/>
        <v>7501.511469</v>
      </c>
      <c r="G27" s="58">
        <f t="shared" si="2"/>
        <v>478.81988100000035</v>
      </c>
      <c r="H27" s="46"/>
      <c r="I27" s="27"/>
      <c r="J27" s="27"/>
      <c r="K27" s="27"/>
      <c r="L27" s="27"/>
      <c r="M27" s="27"/>
      <c r="N27" s="27"/>
      <c r="O27" s="27"/>
      <c r="P27" s="27"/>
      <c r="Q27" s="130"/>
      <c r="R27" s="83"/>
      <c r="S27" s="120"/>
      <c r="T27" s="46"/>
      <c r="U27" s="58"/>
      <c r="V27" s="60"/>
      <c r="W27" s="53"/>
      <c r="X27" s="53"/>
      <c r="Y27" s="5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s="3" customFormat="1" ht="41.25" customHeight="1">
      <c r="A28" s="24"/>
      <c r="B28" s="99" t="s">
        <v>6</v>
      </c>
      <c r="C28" s="16">
        <f>C29+C39</f>
        <v>17.148</v>
      </c>
      <c r="D28" s="16"/>
      <c r="E28" s="16">
        <f t="shared" ref="E28:G28" si="3">E29+E39</f>
        <v>197954.8</v>
      </c>
      <c r="F28" s="16">
        <f t="shared" si="3"/>
        <v>186077.49600000001</v>
      </c>
      <c r="G28" s="16">
        <f t="shared" si="3"/>
        <v>11877.304000000002</v>
      </c>
      <c r="H28" s="23">
        <f>H29+H39</f>
        <v>38.228999999999999</v>
      </c>
      <c r="I28" s="16"/>
      <c r="J28" s="16">
        <f t="shared" ref="J28:L28" si="4">J29+J39</f>
        <v>449899.70902000001</v>
      </c>
      <c r="K28" s="16">
        <f t="shared" si="4"/>
        <v>422905.83647880005</v>
      </c>
      <c r="L28" s="16">
        <f t="shared" si="4"/>
        <v>26993.872541200035</v>
      </c>
      <c r="M28" s="16"/>
      <c r="N28" s="16"/>
      <c r="O28" s="16"/>
      <c r="P28" s="16"/>
      <c r="Q28" s="18"/>
      <c r="R28" s="17" t="e">
        <f>#REF!+#REF!</f>
        <v>#REF!</v>
      </c>
      <c r="S28" s="17"/>
      <c r="T28" s="14" t="e">
        <f>#REF!+#REF!</f>
        <v>#REF!</v>
      </c>
      <c r="U28" s="12" t="e">
        <f>#REF!+#REF!</f>
        <v>#REF!</v>
      </c>
      <c r="V28" s="18" t="e">
        <f>#REF!</f>
        <v>#REF!</v>
      </c>
      <c r="W28" s="172">
        <f>K28/J28*100</f>
        <v>94.000024449893573</v>
      </c>
      <c r="X28" s="53"/>
      <c r="Y28" s="5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s="3" customFormat="1" ht="39.75" customHeight="1">
      <c r="A29" s="24"/>
      <c r="B29" s="100" t="s">
        <v>159</v>
      </c>
      <c r="C29" s="42">
        <f>SUM(C30:C32)</f>
        <v>0.40499999999999997</v>
      </c>
      <c r="D29" s="46"/>
      <c r="E29" s="46">
        <f>SUM(E30:E32)</f>
        <v>23307.97567</v>
      </c>
      <c r="F29" s="46">
        <f t="shared" ref="F29:G29" si="5">SUM(F30:F32)</f>
        <v>21909.497129800002</v>
      </c>
      <c r="G29" s="46">
        <f t="shared" si="5"/>
        <v>1398.4785402000011</v>
      </c>
      <c r="H29" s="42">
        <f>SUM(H32:H38)</f>
        <v>16.206000000000003</v>
      </c>
      <c r="I29" s="16"/>
      <c r="J29" s="46">
        <f>SUM(J32:J38)</f>
        <v>252439.14993000001</v>
      </c>
      <c r="K29" s="46">
        <f t="shared" ref="K29:L29" si="6">SUM(K32:K38)</f>
        <v>237292.81093420001</v>
      </c>
      <c r="L29" s="46">
        <f t="shared" si="6"/>
        <v>15146.338995800024</v>
      </c>
      <c r="M29" s="16"/>
      <c r="N29" s="16"/>
      <c r="O29" s="16"/>
      <c r="P29" s="16"/>
      <c r="Q29" s="18"/>
      <c r="R29" s="17"/>
      <c r="S29" s="17"/>
      <c r="T29" s="14"/>
      <c r="U29" s="12"/>
      <c r="V29" s="18"/>
      <c r="W29" s="51"/>
      <c r="X29" s="53"/>
      <c r="Y29" s="5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s="3" customFormat="1" ht="27" customHeight="1">
      <c r="A30" s="24">
        <v>12</v>
      </c>
      <c r="B30" s="100" t="s">
        <v>53</v>
      </c>
      <c r="C30" s="42">
        <v>0.28999999999999998</v>
      </c>
      <c r="D30" s="16"/>
      <c r="E30" s="46">
        <v>3492.8072000000002</v>
      </c>
      <c r="F30" s="46">
        <f>E30*0.94</f>
        <v>3283.2387680000002</v>
      </c>
      <c r="G30" s="58">
        <f>E30-F30</f>
        <v>209.56843200000003</v>
      </c>
      <c r="H30" s="16"/>
      <c r="I30" s="16"/>
      <c r="J30" s="16"/>
      <c r="K30" s="16"/>
      <c r="L30" s="16"/>
      <c r="M30" s="16"/>
      <c r="N30" s="16"/>
      <c r="O30" s="16"/>
      <c r="P30" s="16"/>
      <c r="Q30" s="18"/>
      <c r="R30" s="17"/>
      <c r="S30" s="17"/>
      <c r="T30" s="14"/>
      <c r="U30" s="12"/>
      <c r="V30" s="18"/>
      <c r="W30" s="51"/>
      <c r="X30" s="53"/>
      <c r="Y30" s="53"/>
      <c r="Z30" s="2"/>
      <c r="AA30" s="2" t="s">
        <v>17</v>
      </c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s="3" customFormat="1" ht="42" customHeight="1">
      <c r="A31" s="24">
        <v>13</v>
      </c>
      <c r="B31" s="100" t="s">
        <v>51</v>
      </c>
      <c r="C31" s="42">
        <v>0.115</v>
      </c>
      <c r="D31" s="69"/>
      <c r="E31" s="46">
        <v>2417.9584</v>
      </c>
      <c r="F31" s="46">
        <f>E31*0.94</f>
        <v>2272.8808959999997</v>
      </c>
      <c r="G31" s="58">
        <f t="shared" ref="G31:G32" si="7">E31-F31</f>
        <v>145.07750400000032</v>
      </c>
      <c r="H31" s="16"/>
      <c r="I31" s="16"/>
      <c r="J31" s="16"/>
      <c r="K31" s="16"/>
      <c r="L31" s="16"/>
      <c r="M31" s="16"/>
      <c r="N31" s="16"/>
      <c r="O31" s="16"/>
      <c r="P31" s="16"/>
      <c r="Q31" s="18"/>
      <c r="R31" s="17"/>
      <c r="S31" s="17"/>
      <c r="T31" s="14"/>
      <c r="U31" s="12"/>
      <c r="V31" s="18"/>
      <c r="W31" s="51"/>
      <c r="X31" s="53"/>
      <c r="Y31" s="5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s="3" customFormat="1" ht="30" customHeight="1">
      <c r="A32" s="24">
        <v>14</v>
      </c>
      <c r="B32" s="100" t="s">
        <v>43</v>
      </c>
      <c r="C32" s="42"/>
      <c r="D32" s="69"/>
      <c r="E32" s="46">
        <v>17397.210070000001</v>
      </c>
      <c r="F32" s="46">
        <f>E32*0.94</f>
        <v>16353.3774658</v>
      </c>
      <c r="G32" s="58">
        <f t="shared" si="7"/>
        <v>1043.8326042000008</v>
      </c>
      <c r="H32" s="42">
        <v>1.6890000000000001</v>
      </c>
      <c r="I32" s="16"/>
      <c r="J32" s="46">
        <v>11596.219929999999</v>
      </c>
      <c r="K32" s="46">
        <f t="shared" ref="K32:K37" si="8">J32*0.94</f>
        <v>10900.446734199999</v>
      </c>
      <c r="L32" s="46">
        <f t="shared" ref="L32:L38" si="9">J32-K32</f>
        <v>695.77319580000039</v>
      </c>
      <c r="M32" s="16"/>
      <c r="N32" s="16"/>
      <c r="O32" s="16"/>
      <c r="P32" s="16"/>
      <c r="Q32" s="18"/>
      <c r="R32" s="17"/>
      <c r="S32" s="17"/>
      <c r="T32" s="14"/>
      <c r="U32" s="12"/>
      <c r="V32" s="18"/>
      <c r="W32" s="51"/>
      <c r="X32" s="53"/>
      <c r="Y32" s="5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s="3" customFormat="1" ht="30" customHeight="1">
      <c r="A33" s="24">
        <v>15</v>
      </c>
      <c r="B33" s="100" t="s">
        <v>160</v>
      </c>
      <c r="C33" s="42"/>
      <c r="D33" s="69"/>
      <c r="E33" s="46"/>
      <c r="F33" s="46"/>
      <c r="G33" s="58"/>
      <c r="H33" s="42">
        <v>4.2460000000000004</v>
      </c>
      <c r="I33" s="16"/>
      <c r="J33" s="46">
        <v>66892.320000000007</v>
      </c>
      <c r="K33" s="46">
        <f t="shared" si="8"/>
        <v>62878.7808</v>
      </c>
      <c r="L33" s="46">
        <f t="shared" si="9"/>
        <v>4013.5392000000065</v>
      </c>
      <c r="M33" s="16"/>
      <c r="N33" s="16"/>
      <c r="O33" s="16"/>
      <c r="P33" s="16"/>
      <c r="Q33" s="18"/>
      <c r="R33" s="17"/>
      <c r="S33" s="17"/>
      <c r="T33" s="14"/>
      <c r="U33" s="12"/>
      <c r="V33" s="18"/>
      <c r="W33" s="51"/>
      <c r="X33" s="53"/>
      <c r="Y33" s="5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s="3" customFormat="1" ht="30" customHeight="1">
      <c r="A34" s="24">
        <v>16</v>
      </c>
      <c r="B34" s="100" t="s">
        <v>161</v>
      </c>
      <c r="C34" s="42"/>
      <c r="D34" s="69"/>
      <c r="E34" s="46"/>
      <c r="F34" s="46"/>
      <c r="G34" s="58"/>
      <c r="H34" s="42">
        <v>2.9929999999999999</v>
      </c>
      <c r="I34" s="16"/>
      <c r="J34" s="46">
        <v>21251.69</v>
      </c>
      <c r="K34" s="46">
        <f t="shared" si="8"/>
        <v>19976.588599999999</v>
      </c>
      <c r="L34" s="46">
        <f t="shared" si="9"/>
        <v>1275.1013999999996</v>
      </c>
      <c r="M34" s="16"/>
      <c r="N34" s="16"/>
      <c r="O34" s="16"/>
      <c r="P34" s="16"/>
      <c r="Q34" s="18"/>
      <c r="R34" s="17"/>
      <c r="S34" s="17"/>
      <c r="T34" s="14"/>
      <c r="U34" s="12"/>
      <c r="V34" s="18"/>
      <c r="W34" s="51"/>
      <c r="X34" s="53"/>
      <c r="Y34" s="5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s="3" customFormat="1" ht="30" customHeight="1">
      <c r="A35" s="24">
        <v>17</v>
      </c>
      <c r="B35" s="100" t="s">
        <v>162</v>
      </c>
      <c r="C35" s="42"/>
      <c r="D35" s="69"/>
      <c r="E35" s="46"/>
      <c r="F35" s="46"/>
      <c r="G35" s="58"/>
      <c r="H35" s="42">
        <v>1.425</v>
      </c>
      <c r="I35" s="16"/>
      <c r="J35" s="46">
        <v>14911.93</v>
      </c>
      <c r="K35" s="46">
        <f t="shared" si="8"/>
        <v>14017.2142</v>
      </c>
      <c r="L35" s="46">
        <f t="shared" si="9"/>
        <v>894.71579999999994</v>
      </c>
      <c r="M35" s="16"/>
      <c r="N35" s="16"/>
      <c r="O35" s="16"/>
      <c r="P35" s="16"/>
      <c r="Q35" s="18"/>
      <c r="R35" s="17"/>
      <c r="S35" s="17"/>
      <c r="T35" s="14"/>
      <c r="U35" s="12"/>
      <c r="V35" s="18"/>
      <c r="W35" s="51"/>
      <c r="X35" s="53"/>
      <c r="Y35" s="5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s="3" customFormat="1" ht="30" customHeight="1">
      <c r="A36" s="24">
        <v>18</v>
      </c>
      <c r="B36" s="100" t="s">
        <v>163</v>
      </c>
      <c r="C36" s="42"/>
      <c r="D36" s="69"/>
      <c r="E36" s="46"/>
      <c r="F36" s="46"/>
      <c r="G36" s="58"/>
      <c r="H36" s="42">
        <v>1.06</v>
      </c>
      <c r="I36" s="16"/>
      <c r="J36" s="46">
        <v>22860.11</v>
      </c>
      <c r="K36" s="46">
        <f t="shared" si="8"/>
        <v>21488.503399999998</v>
      </c>
      <c r="L36" s="46">
        <f t="shared" si="9"/>
        <v>1371.6066000000028</v>
      </c>
      <c r="M36" s="16"/>
      <c r="N36" s="16"/>
      <c r="O36" s="16"/>
      <c r="P36" s="16"/>
      <c r="Q36" s="18"/>
      <c r="R36" s="17"/>
      <c r="S36" s="17"/>
      <c r="T36" s="14"/>
      <c r="U36" s="12"/>
      <c r="V36" s="18"/>
      <c r="W36" s="51"/>
      <c r="X36" s="53"/>
      <c r="Y36" s="5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 s="3" customFormat="1" ht="30" customHeight="1">
      <c r="A37" s="24">
        <v>19</v>
      </c>
      <c r="B37" s="100" t="s">
        <v>164</v>
      </c>
      <c r="C37" s="42"/>
      <c r="D37" s="69"/>
      <c r="E37" s="46"/>
      <c r="F37" s="46"/>
      <c r="G37" s="58"/>
      <c r="H37" s="42">
        <v>0.79300000000000004</v>
      </c>
      <c r="I37" s="16"/>
      <c r="J37" s="46">
        <v>18359.7</v>
      </c>
      <c r="K37" s="46">
        <f t="shared" si="8"/>
        <v>17258.117999999999</v>
      </c>
      <c r="L37" s="46">
        <f t="shared" si="9"/>
        <v>1101.5820000000022</v>
      </c>
      <c r="M37" s="16"/>
      <c r="N37" s="16"/>
      <c r="O37" s="16"/>
      <c r="P37" s="16"/>
      <c r="Q37" s="18"/>
      <c r="R37" s="17"/>
      <c r="S37" s="17"/>
      <c r="T37" s="14"/>
      <c r="U37" s="12"/>
      <c r="V37" s="18"/>
      <c r="W37" s="51"/>
      <c r="X37" s="53" t="s">
        <v>17</v>
      </c>
      <c r="Y37" s="5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spans="1:44" s="3" customFormat="1" ht="30" customHeight="1">
      <c r="A38" s="24">
        <v>20</v>
      </c>
      <c r="B38" s="100" t="s">
        <v>187</v>
      </c>
      <c r="C38" s="42"/>
      <c r="D38" s="69"/>
      <c r="E38" s="46"/>
      <c r="F38" s="46"/>
      <c r="G38" s="58"/>
      <c r="H38" s="42">
        <v>4</v>
      </c>
      <c r="I38" s="16"/>
      <c r="J38" s="46">
        <v>96567.18</v>
      </c>
      <c r="K38" s="46">
        <f>J38*0.94+0.01</f>
        <v>90773.15919999998</v>
      </c>
      <c r="L38" s="46">
        <f t="shared" si="9"/>
        <v>5794.020800000013</v>
      </c>
      <c r="M38" s="16"/>
      <c r="N38" s="16"/>
      <c r="O38" s="16"/>
      <c r="P38" s="16"/>
      <c r="Q38" s="18"/>
      <c r="R38" s="17"/>
      <c r="S38" s="17"/>
      <c r="T38" s="14"/>
      <c r="U38" s="12"/>
      <c r="V38" s="18"/>
      <c r="W38" s="51"/>
      <c r="X38" s="53"/>
      <c r="Y38" s="5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</row>
    <row r="39" spans="1:44" s="3" customFormat="1" ht="28.5" customHeight="1">
      <c r="A39" s="24"/>
      <c r="B39" s="100" t="s">
        <v>114</v>
      </c>
      <c r="C39" s="42">
        <f>SUM(C40:C45)</f>
        <v>16.742999999999999</v>
      </c>
      <c r="D39" s="69"/>
      <c r="E39" s="46">
        <f>SUM(E40:E46)</f>
        <v>174646.82432999997</v>
      </c>
      <c r="F39" s="46">
        <f t="shared" ref="F39:G39" si="10">SUM(F40:F46)</f>
        <v>164167.99887020001</v>
      </c>
      <c r="G39" s="46">
        <f t="shared" si="10"/>
        <v>10478.8254598</v>
      </c>
      <c r="H39" s="42">
        <f>SUM(H46:H49)</f>
        <v>22.023</v>
      </c>
      <c r="I39" s="16"/>
      <c r="J39" s="46">
        <f t="shared" ref="J39:L39" si="11">SUM(J46:J49)</f>
        <v>197460.55909</v>
      </c>
      <c r="K39" s="46">
        <f t="shared" si="11"/>
        <v>185613.02554460001</v>
      </c>
      <c r="L39" s="46">
        <f t="shared" si="11"/>
        <v>11847.533545400012</v>
      </c>
      <c r="M39" s="16"/>
      <c r="N39" s="16"/>
      <c r="O39" s="16"/>
      <c r="P39" s="16"/>
      <c r="Q39" s="18"/>
      <c r="R39" s="17"/>
      <c r="S39" s="17"/>
      <c r="T39" s="14"/>
      <c r="U39" s="12"/>
      <c r="V39" s="18"/>
      <c r="W39" s="51"/>
      <c r="X39" s="53"/>
      <c r="Y39" s="5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</row>
    <row r="40" spans="1:44" s="3" customFormat="1" ht="27.75" customHeight="1">
      <c r="A40" s="24">
        <v>21</v>
      </c>
      <c r="B40" s="100" t="s">
        <v>42</v>
      </c>
      <c r="C40" s="42">
        <v>8.9819999999999993</v>
      </c>
      <c r="D40" s="16"/>
      <c r="E40" s="46">
        <v>49808.849269999999</v>
      </c>
      <c r="F40" s="46">
        <f t="shared" ref="F40:F45" si="12">E40*0.94</f>
        <v>46820.318313799995</v>
      </c>
      <c r="G40" s="58">
        <f t="shared" ref="G40" si="13">E40-F40</f>
        <v>2988.5309562000039</v>
      </c>
      <c r="H40" s="16"/>
      <c r="I40" s="16"/>
      <c r="J40" s="16"/>
      <c r="K40" s="16"/>
      <c r="L40" s="16"/>
      <c r="M40" s="16"/>
      <c r="N40" s="16"/>
      <c r="O40" s="16"/>
      <c r="P40" s="16"/>
      <c r="Q40" s="18"/>
      <c r="R40" s="17"/>
      <c r="S40" s="17"/>
      <c r="T40" s="14"/>
      <c r="U40" s="12"/>
      <c r="V40" s="18"/>
      <c r="W40" s="51"/>
      <c r="X40" s="53"/>
      <c r="Y40" s="5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</row>
    <row r="41" spans="1:44" s="3" customFormat="1" ht="23.25" customHeight="1">
      <c r="A41" s="24">
        <v>22</v>
      </c>
      <c r="B41" s="100" t="s">
        <v>74</v>
      </c>
      <c r="C41" s="42">
        <v>1</v>
      </c>
      <c r="D41" s="69"/>
      <c r="E41" s="46">
        <v>8150.9138000000003</v>
      </c>
      <c r="F41" s="46">
        <f t="shared" si="12"/>
        <v>7661.858972</v>
      </c>
      <c r="G41" s="58">
        <f>E41-F41</f>
        <v>489.05482800000027</v>
      </c>
      <c r="H41" s="16"/>
      <c r="I41" s="16"/>
      <c r="J41" s="16"/>
      <c r="K41" s="16"/>
      <c r="L41" s="16"/>
      <c r="M41" s="16"/>
      <c r="N41" s="16"/>
      <c r="O41" s="16"/>
      <c r="P41" s="16"/>
      <c r="Q41" s="18"/>
      <c r="R41" s="17"/>
      <c r="S41" s="17"/>
      <c r="T41" s="14"/>
      <c r="U41" s="12"/>
      <c r="V41" s="18"/>
      <c r="W41" s="51"/>
      <c r="X41" s="53"/>
      <c r="Y41" s="5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</row>
    <row r="42" spans="1:44" s="3" customFormat="1" ht="26.25" customHeight="1">
      <c r="A42" s="24">
        <v>23</v>
      </c>
      <c r="B42" s="100" t="s">
        <v>43</v>
      </c>
      <c r="C42" s="42">
        <v>0.81499999999999995</v>
      </c>
      <c r="D42" s="69"/>
      <c r="E42" s="46">
        <v>5040.38</v>
      </c>
      <c r="F42" s="46">
        <f t="shared" si="12"/>
        <v>4737.9571999999998</v>
      </c>
      <c r="G42" s="58">
        <f>E42-F42</f>
        <v>302.42280000000028</v>
      </c>
      <c r="H42" s="16"/>
      <c r="I42" s="16"/>
      <c r="J42" s="16"/>
      <c r="K42" s="16"/>
      <c r="L42" s="16"/>
      <c r="M42" s="16"/>
      <c r="N42" s="16"/>
      <c r="O42" s="16"/>
      <c r="P42" s="16"/>
      <c r="Q42" s="18"/>
      <c r="R42" s="17"/>
      <c r="S42" s="17"/>
      <c r="T42" s="14"/>
      <c r="U42" s="12"/>
      <c r="V42" s="18"/>
      <c r="W42" s="51"/>
      <c r="X42" s="53"/>
      <c r="Y42" s="5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</row>
    <row r="43" spans="1:44" s="3" customFormat="1" ht="30" customHeight="1">
      <c r="A43" s="24">
        <v>24</v>
      </c>
      <c r="B43" s="100" t="s">
        <v>44</v>
      </c>
      <c r="C43" s="42">
        <v>2.6389999999999998</v>
      </c>
      <c r="D43" s="69"/>
      <c r="E43" s="46">
        <v>6373.5912600000001</v>
      </c>
      <c r="F43" s="46">
        <f t="shared" si="12"/>
        <v>5991.1757843999994</v>
      </c>
      <c r="G43" s="58">
        <f t="shared" ref="G43:G45" si="14">E43-F43</f>
        <v>382.41547560000072</v>
      </c>
      <c r="H43" s="16"/>
      <c r="I43" s="16"/>
      <c r="J43" s="16"/>
      <c r="K43" s="16"/>
      <c r="L43" s="16"/>
      <c r="M43" s="16"/>
      <c r="N43" s="16"/>
      <c r="O43" s="16"/>
      <c r="P43" s="16"/>
      <c r="Q43" s="18"/>
      <c r="R43" s="17"/>
      <c r="S43" s="17"/>
      <c r="T43" s="14"/>
      <c r="U43" s="12"/>
      <c r="V43" s="18"/>
      <c r="W43" s="51" t="s">
        <v>17</v>
      </c>
      <c r="X43" s="53"/>
      <c r="Y43" s="53"/>
      <c r="Z43" s="2" t="s">
        <v>26</v>
      </c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</row>
    <row r="44" spans="1:44" s="3" customFormat="1" ht="30" customHeight="1">
      <c r="A44" s="24">
        <v>25</v>
      </c>
      <c r="B44" s="100" t="s">
        <v>45</v>
      </c>
      <c r="C44" s="42">
        <v>2.7749999999999999</v>
      </c>
      <c r="D44" s="69"/>
      <c r="E44" s="46">
        <v>16876.04</v>
      </c>
      <c r="F44" s="46">
        <f t="shared" si="12"/>
        <v>15863.4776</v>
      </c>
      <c r="G44" s="58">
        <f t="shared" si="14"/>
        <v>1012.5624000000007</v>
      </c>
      <c r="H44" s="16"/>
      <c r="I44" s="16"/>
      <c r="J44" s="16"/>
      <c r="K44" s="16"/>
      <c r="L44" s="16"/>
      <c r="M44" s="16"/>
      <c r="N44" s="16"/>
      <c r="O44" s="16"/>
      <c r="P44" s="16"/>
      <c r="Q44" s="18"/>
      <c r="R44" s="17"/>
      <c r="S44" s="17"/>
      <c r="T44" s="14"/>
      <c r="U44" s="12"/>
      <c r="V44" s="18"/>
      <c r="W44" s="51"/>
      <c r="X44" s="53"/>
      <c r="Y44" s="5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</row>
    <row r="45" spans="1:44" s="3" customFormat="1" ht="30" customHeight="1">
      <c r="A45" s="7">
        <v>26</v>
      </c>
      <c r="B45" s="100" t="s">
        <v>46</v>
      </c>
      <c r="C45" s="42">
        <v>0.53200000000000003</v>
      </c>
      <c r="D45" s="69"/>
      <c r="E45" s="46">
        <v>3290.65</v>
      </c>
      <c r="F45" s="46">
        <f t="shared" si="12"/>
        <v>3093.2109999999998</v>
      </c>
      <c r="G45" s="58">
        <f t="shared" si="14"/>
        <v>197.43900000000031</v>
      </c>
      <c r="H45" s="16"/>
      <c r="I45" s="16"/>
      <c r="J45" s="16"/>
      <c r="K45" s="16"/>
      <c r="L45" s="16"/>
      <c r="M45" s="16"/>
      <c r="N45" s="16"/>
      <c r="O45" s="16"/>
      <c r="P45" s="16"/>
      <c r="Q45" s="18"/>
      <c r="R45" s="17"/>
      <c r="S45" s="17"/>
      <c r="T45" s="14"/>
      <c r="U45" s="12"/>
      <c r="V45" s="18"/>
      <c r="W45" s="51"/>
      <c r="X45" s="53"/>
      <c r="Y45" s="5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</row>
    <row r="46" spans="1:44" s="3" customFormat="1" ht="30" customHeight="1">
      <c r="A46" s="7">
        <v>27</v>
      </c>
      <c r="B46" s="104" t="s">
        <v>115</v>
      </c>
      <c r="C46" s="42"/>
      <c r="D46" s="69"/>
      <c r="E46" s="46">
        <v>85106.4</v>
      </c>
      <c r="F46" s="46">
        <v>80000</v>
      </c>
      <c r="G46" s="58">
        <f>E46-F46</f>
        <v>5106.3999999999942</v>
      </c>
      <c r="H46" s="42">
        <v>10.36</v>
      </c>
      <c r="I46" s="16"/>
      <c r="J46" s="46">
        <v>25000</v>
      </c>
      <c r="K46" s="46">
        <f>J46*0.94</f>
        <v>23500</v>
      </c>
      <c r="L46" s="46">
        <f>J46-K46</f>
        <v>1500</v>
      </c>
      <c r="M46" s="16"/>
      <c r="N46" s="16"/>
      <c r="O46" s="16"/>
      <c r="P46" s="16"/>
      <c r="Q46" s="18"/>
      <c r="R46" s="115"/>
      <c r="S46" s="115"/>
      <c r="T46" s="116"/>
      <c r="U46" s="117"/>
      <c r="V46" s="118"/>
      <c r="W46" s="51"/>
      <c r="X46" s="53"/>
      <c r="Y46" s="5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</row>
    <row r="47" spans="1:44" s="3" customFormat="1" ht="30" customHeight="1">
      <c r="A47" s="7">
        <v>28</v>
      </c>
      <c r="B47" s="100" t="s">
        <v>165</v>
      </c>
      <c r="C47" s="42"/>
      <c r="D47" s="69"/>
      <c r="E47" s="160"/>
      <c r="F47" s="46"/>
      <c r="G47" s="58"/>
      <c r="H47" s="42">
        <v>3.1190000000000002</v>
      </c>
      <c r="I47" s="16"/>
      <c r="J47" s="46">
        <v>46563.419690000002</v>
      </c>
      <c r="K47" s="46">
        <f>J47*0.94</f>
        <v>43769.614508600003</v>
      </c>
      <c r="L47" s="46">
        <f>J47-K47</f>
        <v>2793.8051813999991</v>
      </c>
      <c r="M47" s="16"/>
      <c r="N47" s="16"/>
      <c r="O47" s="16"/>
      <c r="P47" s="16"/>
      <c r="Q47" s="18"/>
      <c r="R47" s="115"/>
      <c r="S47" s="115"/>
      <c r="T47" s="116"/>
      <c r="U47" s="117"/>
      <c r="V47" s="118"/>
      <c r="W47" s="51"/>
      <c r="X47" s="53"/>
      <c r="Y47" s="5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</row>
    <row r="48" spans="1:44" s="3" customFormat="1" ht="39.75" customHeight="1">
      <c r="A48" s="7">
        <v>29</v>
      </c>
      <c r="B48" s="100" t="s">
        <v>166</v>
      </c>
      <c r="C48" s="42"/>
      <c r="D48" s="69"/>
      <c r="E48" s="160"/>
      <c r="F48" s="46"/>
      <c r="G48" s="58"/>
      <c r="H48" s="42">
        <v>7.4240000000000004</v>
      </c>
      <c r="I48" s="16"/>
      <c r="J48" s="46">
        <v>103102.0194</v>
      </c>
      <c r="K48" s="46">
        <f>J48*0.94</f>
        <v>96915.898235999994</v>
      </c>
      <c r="L48" s="46">
        <f>J48-K48</f>
        <v>6186.121164000011</v>
      </c>
      <c r="M48" s="16"/>
      <c r="N48" s="16"/>
      <c r="O48" s="16"/>
      <c r="P48" s="16"/>
      <c r="Q48" s="18"/>
      <c r="R48" s="115"/>
      <c r="S48" s="115"/>
      <c r="T48" s="116"/>
      <c r="U48" s="117"/>
      <c r="V48" s="118"/>
      <c r="W48" s="51"/>
      <c r="X48" s="53"/>
      <c r="Y48" s="5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spans="1:44" s="3" customFormat="1" ht="42" customHeight="1">
      <c r="A49" s="7">
        <v>30</v>
      </c>
      <c r="B49" s="100" t="s">
        <v>188</v>
      </c>
      <c r="C49" s="42"/>
      <c r="D49" s="69"/>
      <c r="E49" s="160"/>
      <c r="F49" s="46"/>
      <c r="G49" s="58"/>
      <c r="H49" s="42">
        <v>1.1200000000000001</v>
      </c>
      <c r="I49" s="16"/>
      <c r="J49" s="46">
        <v>22795.119999999999</v>
      </c>
      <c r="K49" s="46">
        <f>J49*0.94+0.1</f>
        <v>21427.512799999997</v>
      </c>
      <c r="L49" s="46">
        <f>J49-K49</f>
        <v>1367.6072000000022</v>
      </c>
      <c r="M49" s="16"/>
      <c r="N49" s="16"/>
      <c r="O49" s="16"/>
      <c r="P49" s="16"/>
      <c r="Q49" s="18"/>
      <c r="R49" s="115"/>
      <c r="S49" s="115"/>
      <c r="T49" s="116"/>
      <c r="U49" s="117"/>
      <c r="V49" s="118"/>
      <c r="W49" s="51"/>
      <c r="X49" s="53"/>
      <c r="Y49" s="5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</row>
    <row r="50" spans="1:44" s="3" customFormat="1" ht="27" customHeight="1">
      <c r="A50" s="7"/>
      <c r="B50" s="102" t="s">
        <v>7</v>
      </c>
      <c r="C50" s="16">
        <f>SUM(C52)+C53</f>
        <v>1.3919999999999999</v>
      </c>
      <c r="D50" s="28"/>
      <c r="E50" s="55">
        <f>E52+E53</f>
        <v>28663.3</v>
      </c>
      <c r="F50" s="55">
        <f t="shared" ref="F50:G50" si="15">F52+F53</f>
        <v>26943.5</v>
      </c>
      <c r="G50" s="55">
        <f t="shared" si="15"/>
        <v>1719.8000000000002</v>
      </c>
      <c r="H50" s="55">
        <f>H55</f>
        <v>0</v>
      </c>
      <c r="I50" s="55">
        <f>I54</f>
        <v>18</v>
      </c>
      <c r="J50" s="55">
        <f>J54+J55</f>
        <v>11327</v>
      </c>
      <c r="K50" s="55">
        <f>K54+K55</f>
        <v>10647.4</v>
      </c>
      <c r="L50" s="56">
        <f>L54+L55</f>
        <v>679.60000000000036</v>
      </c>
      <c r="M50" s="56"/>
      <c r="N50" s="56"/>
      <c r="O50" s="56"/>
      <c r="P50" s="56"/>
      <c r="Q50" s="131"/>
      <c r="R50" s="71" t="e">
        <f>#REF!+#REF!</f>
        <v>#REF!</v>
      </c>
      <c r="S50" s="71"/>
      <c r="T50" s="44" t="e">
        <f>#REF!+#REF!</f>
        <v>#REF!</v>
      </c>
      <c r="U50" s="45" t="e">
        <f>#REF!+#REF!</f>
        <v>#REF!</v>
      </c>
      <c r="V50" s="94" t="e">
        <f>#REF!+#REF!</f>
        <v>#REF!</v>
      </c>
      <c r="W50" s="53"/>
      <c r="X50" s="53"/>
      <c r="Y50" s="5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spans="1:44" s="3" customFormat="1" ht="30.75" customHeight="1">
      <c r="A51" s="7"/>
      <c r="B51" s="100" t="s">
        <v>70</v>
      </c>
      <c r="C51" s="16"/>
      <c r="D51" s="28"/>
      <c r="E51" s="55"/>
      <c r="F51" s="55"/>
      <c r="G51" s="119"/>
      <c r="H51" s="55"/>
      <c r="I51" s="55"/>
      <c r="J51" s="55"/>
      <c r="K51" s="55"/>
      <c r="L51" s="56"/>
      <c r="M51" s="56"/>
      <c r="N51" s="56"/>
      <c r="O51" s="56"/>
      <c r="P51" s="56"/>
      <c r="Q51" s="131"/>
      <c r="R51" s="71"/>
      <c r="S51" s="71"/>
      <c r="T51" s="44"/>
      <c r="U51" s="45"/>
      <c r="V51" s="94"/>
      <c r="W51" s="53"/>
      <c r="X51" s="53"/>
      <c r="Y51" s="5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1:44" s="3" customFormat="1" ht="30" customHeight="1">
      <c r="A52" s="24">
        <v>31</v>
      </c>
      <c r="B52" s="100" t="s">
        <v>149</v>
      </c>
      <c r="C52" s="42">
        <v>0.73</v>
      </c>
      <c r="D52" s="13"/>
      <c r="E52" s="46">
        <v>7163.3</v>
      </c>
      <c r="F52" s="46">
        <v>6733.5</v>
      </c>
      <c r="G52" s="58">
        <v>429.80000000000018</v>
      </c>
      <c r="H52" s="21"/>
      <c r="I52" s="21"/>
      <c r="J52" s="21"/>
      <c r="K52" s="21"/>
      <c r="L52" s="21"/>
      <c r="M52" s="21"/>
      <c r="N52" s="21"/>
      <c r="O52" s="21"/>
      <c r="P52" s="21"/>
      <c r="Q52" s="132"/>
      <c r="R52" s="69"/>
      <c r="S52" s="69"/>
      <c r="T52" s="21"/>
      <c r="U52" s="33"/>
      <c r="V52" s="15"/>
      <c r="W52" s="53"/>
      <c r="X52" s="53"/>
      <c r="Y52" s="5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</row>
    <row r="53" spans="1:44" s="3" customFormat="1" ht="30" customHeight="1">
      <c r="A53" s="7">
        <v>32</v>
      </c>
      <c r="B53" s="100" t="s">
        <v>150</v>
      </c>
      <c r="C53" s="42">
        <v>0.66200000000000003</v>
      </c>
      <c r="D53" s="13"/>
      <c r="E53" s="46">
        <v>21500</v>
      </c>
      <c r="F53" s="46">
        <v>20210</v>
      </c>
      <c r="G53" s="58">
        <v>1290</v>
      </c>
      <c r="H53" s="21"/>
      <c r="I53" s="21"/>
      <c r="J53" s="21"/>
      <c r="K53" s="21"/>
      <c r="L53" s="21"/>
      <c r="M53" s="21"/>
      <c r="N53" s="21"/>
      <c r="O53" s="21"/>
      <c r="P53" s="21"/>
      <c r="Q53" s="132"/>
      <c r="R53" s="69"/>
      <c r="S53" s="69"/>
      <c r="T53" s="21"/>
      <c r="U53" s="33"/>
      <c r="V53" s="15"/>
      <c r="W53" s="53"/>
      <c r="X53" s="53"/>
      <c r="Y53" s="5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</row>
    <row r="54" spans="1:44" s="3" customFormat="1" ht="42" customHeight="1">
      <c r="A54" s="7">
        <v>33</v>
      </c>
      <c r="B54" s="100" t="s">
        <v>103</v>
      </c>
      <c r="C54" s="42"/>
      <c r="D54" s="13"/>
      <c r="E54" s="46"/>
      <c r="F54" s="46"/>
      <c r="G54" s="58"/>
      <c r="H54" s="21"/>
      <c r="I54" s="46">
        <f>6+12</f>
        <v>18</v>
      </c>
      <c r="J54" s="46">
        <v>11327</v>
      </c>
      <c r="K54" s="46">
        <v>10647.4</v>
      </c>
      <c r="L54" s="46">
        <f>J54-K54</f>
        <v>679.60000000000036</v>
      </c>
      <c r="M54" s="21"/>
      <c r="N54" s="21"/>
      <c r="O54" s="21"/>
      <c r="P54" s="21"/>
      <c r="Q54" s="132"/>
      <c r="R54" s="69"/>
      <c r="S54" s="69"/>
      <c r="T54" s="21"/>
      <c r="U54" s="33"/>
      <c r="V54" s="15"/>
      <c r="W54" s="53"/>
      <c r="X54" s="53"/>
      <c r="Y54" s="5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spans="1:44" s="3" customFormat="1" ht="33" hidden="1" customHeight="1">
      <c r="A55" s="7"/>
      <c r="B55" s="104" t="s">
        <v>167</v>
      </c>
      <c r="C55" s="42"/>
      <c r="D55" s="13"/>
      <c r="E55" s="46"/>
      <c r="F55" s="46"/>
      <c r="G55" s="58"/>
      <c r="H55" s="42"/>
      <c r="I55" s="46"/>
      <c r="J55" s="46"/>
      <c r="K55" s="46"/>
      <c r="L55" s="46"/>
      <c r="M55" s="21"/>
      <c r="N55" s="21"/>
      <c r="O55" s="21"/>
      <c r="P55" s="21"/>
      <c r="Q55" s="132"/>
      <c r="R55" s="69"/>
      <c r="S55" s="69"/>
      <c r="T55" s="21"/>
      <c r="U55" s="33"/>
      <c r="V55" s="15"/>
      <c r="W55" s="53"/>
      <c r="X55" s="53"/>
      <c r="Y55" s="5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</row>
    <row r="56" spans="1:44" s="3" customFormat="1" ht="33" customHeight="1">
      <c r="A56" s="7"/>
      <c r="B56" s="102" t="s">
        <v>189</v>
      </c>
      <c r="C56" s="16">
        <f>SUM(C58:C60)</f>
        <v>2.3010000000000002</v>
      </c>
      <c r="D56" s="14"/>
      <c r="E56" s="16">
        <f>SUM(E58:E60)</f>
        <v>54627.979999999996</v>
      </c>
      <c r="F56" s="16">
        <f t="shared" ref="F56:G56" si="16">SUM(F58:F60)</f>
        <v>51350.3</v>
      </c>
      <c r="G56" s="16">
        <f t="shared" si="16"/>
        <v>3277.6800000000003</v>
      </c>
      <c r="H56" s="16">
        <f>H61+H62+H63+H64</f>
        <v>8.5329999999999995</v>
      </c>
      <c r="I56" s="16"/>
      <c r="J56" s="16">
        <f>J61+J62+J63+J64</f>
        <v>222689.4</v>
      </c>
      <c r="K56" s="16">
        <f t="shared" ref="K56:L56" si="17">K61+K62+K63+K64</f>
        <v>209328.03400000001</v>
      </c>
      <c r="L56" s="16">
        <f t="shared" si="17"/>
        <v>13361.366000000002</v>
      </c>
      <c r="M56" s="61"/>
      <c r="N56" s="61"/>
      <c r="O56" s="61"/>
      <c r="P56" s="61"/>
      <c r="Q56" s="133"/>
      <c r="R56" s="17" t="e">
        <f>#REF!</f>
        <v>#REF!</v>
      </c>
      <c r="S56" s="16"/>
      <c r="T56" s="16" t="e">
        <f>#REF!</f>
        <v>#REF!</v>
      </c>
      <c r="U56" s="16" t="e">
        <f>#REF!</f>
        <v>#REF!</v>
      </c>
      <c r="V56" s="18" t="e">
        <f>#REF!</f>
        <v>#REF!</v>
      </c>
      <c r="W56" s="77"/>
      <c r="X56" s="53"/>
      <c r="Y56" s="5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spans="1:44" s="3" customFormat="1" ht="36.950000000000003" customHeight="1">
      <c r="A57" s="7"/>
      <c r="B57" s="100" t="s">
        <v>71</v>
      </c>
      <c r="C57" s="16"/>
      <c r="D57" s="14"/>
      <c r="E57" s="16"/>
      <c r="F57" s="16"/>
      <c r="G57" s="22"/>
      <c r="H57" s="16"/>
      <c r="I57" s="16"/>
      <c r="J57" s="16"/>
      <c r="K57" s="16"/>
      <c r="L57" s="61"/>
      <c r="M57" s="61"/>
      <c r="N57" s="61"/>
      <c r="O57" s="61"/>
      <c r="P57" s="61"/>
      <c r="Q57" s="133"/>
      <c r="R57" s="17"/>
      <c r="S57" s="17"/>
      <c r="T57" s="16"/>
      <c r="U57" s="22"/>
      <c r="V57" s="18"/>
      <c r="W57" s="77"/>
      <c r="X57" s="53"/>
      <c r="Y57" s="5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spans="1:44" s="3" customFormat="1" ht="33" customHeight="1">
      <c r="A58" s="24">
        <v>34</v>
      </c>
      <c r="B58" s="100" t="s">
        <v>79</v>
      </c>
      <c r="C58" s="42">
        <v>0.34100000000000003</v>
      </c>
      <c r="D58" s="13"/>
      <c r="E58" s="46">
        <v>10374.5</v>
      </c>
      <c r="F58" s="46">
        <v>9752</v>
      </c>
      <c r="G58" s="46">
        <f>E58-F58</f>
        <v>622.5</v>
      </c>
      <c r="H58" s="21"/>
      <c r="I58" s="21"/>
      <c r="J58" s="21"/>
      <c r="K58" s="21"/>
      <c r="L58" s="21"/>
      <c r="M58" s="21"/>
      <c r="N58" s="21"/>
      <c r="O58" s="21"/>
      <c r="P58" s="21"/>
      <c r="Q58" s="132"/>
      <c r="R58" s="69"/>
      <c r="S58" s="69"/>
      <c r="T58" s="21"/>
      <c r="U58" s="33"/>
      <c r="V58" s="15"/>
      <c r="W58" s="53"/>
      <c r="X58" s="53"/>
      <c r="Y58" s="5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</row>
    <row r="59" spans="1:44" s="3" customFormat="1" ht="27" customHeight="1">
      <c r="A59" s="24">
        <v>35</v>
      </c>
      <c r="B59" s="100" t="s">
        <v>60</v>
      </c>
      <c r="C59" s="42">
        <f>(1.25-0.57)+0.43</f>
        <v>1.1100000000000001</v>
      </c>
      <c r="D59" s="13"/>
      <c r="E59" s="46">
        <v>27638.82</v>
      </c>
      <c r="F59" s="46">
        <v>25980.5</v>
      </c>
      <c r="G59" s="46">
        <f>E59-F59</f>
        <v>1658.3199999999997</v>
      </c>
      <c r="H59" s="21"/>
      <c r="I59" s="21"/>
      <c r="J59" s="21"/>
      <c r="K59" s="21"/>
      <c r="L59" s="21"/>
      <c r="M59" s="21"/>
      <c r="N59" s="21"/>
      <c r="O59" s="21"/>
      <c r="P59" s="21"/>
      <c r="Q59" s="132"/>
      <c r="R59" s="69"/>
      <c r="S59" s="69"/>
      <c r="T59" s="21"/>
      <c r="U59" s="33"/>
      <c r="V59" s="15"/>
      <c r="W59" s="53"/>
      <c r="X59" s="53"/>
      <c r="Y59" s="5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</row>
    <row r="60" spans="1:44" s="3" customFormat="1" ht="63" customHeight="1">
      <c r="A60" s="24">
        <v>36</v>
      </c>
      <c r="B60" s="100" t="s">
        <v>84</v>
      </c>
      <c r="C60" s="42">
        <v>0.85</v>
      </c>
      <c r="D60" s="13"/>
      <c r="E60" s="46">
        <v>16614.66</v>
      </c>
      <c r="F60" s="46">
        <v>15617.8</v>
      </c>
      <c r="G60" s="46">
        <f>E60-F60</f>
        <v>996.86000000000058</v>
      </c>
      <c r="H60" s="21"/>
      <c r="I60" s="21"/>
      <c r="J60" s="21"/>
      <c r="K60" s="21"/>
      <c r="L60" s="21"/>
      <c r="M60" s="21"/>
      <c r="N60" s="21"/>
      <c r="O60" s="21"/>
      <c r="P60" s="21"/>
      <c r="Q60" s="132"/>
      <c r="R60" s="69"/>
      <c r="S60" s="69"/>
      <c r="T60" s="21"/>
      <c r="U60" s="33"/>
      <c r="V60" s="15"/>
      <c r="W60" s="53"/>
      <c r="X60" s="53"/>
      <c r="Y60" s="5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</row>
    <row r="61" spans="1:44" s="3" customFormat="1" ht="27" customHeight="1">
      <c r="A61" s="24">
        <v>37</v>
      </c>
      <c r="B61" s="100" t="s">
        <v>104</v>
      </c>
      <c r="C61" s="42"/>
      <c r="D61" s="13"/>
      <c r="E61" s="46"/>
      <c r="F61" s="46"/>
      <c r="G61" s="46"/>
      <c r="H61" s="42">
        <v>4.266</v>
      </c>
      <c r="I61" s="16"/>
      <c r="J61" s="46">
        <v>125836.1</v>
      </c>
      <c r="K61" s="46">
        <f>J61-L61</f>
        <v>118285.93400000001</v>
      </c>
      <c r="L61" s="46">
        <f>J61*0.06</f>
        <v>7550.1660000000002</v>
      </c>
      <c r="M61" s="21"/>
      <c r="N61" s="21"/>
      <c r="O61" s="21"/>
      <c r="P61" s="21"/>
      <c r="Q61" s="132"/>
      <c r="R61" s="69"/>
      <c r="S61" s="69"/>
      <c r="T61" s="21"/>
      <c r="U61" s="33"/>
      <c r="V61" s="15"/>
      <c r="W61" s="53"/>
      <c r="X61" s="53"/>
      <c r="Y61" s="5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</row>
    <row r="62" spans="1:44" s="3" customFormat="1" ht="38.25" customHeight="1">
      <c r="A62" s="24">
        <v>38</v>
      </c>
      <c r="B62" s="100" t="s">
        <v>151</v>
      </c>
      <c r="C62" s="42"/>
      <c r="D62" s="13"/>
      <c r="E62" s="46"/>
      <c r="F62" s="46"/>
      <c r="G62" s="46"/>
      <c r="H62" s="42">
        <f>3.41-H63</f>
        <v>2.3890000000000002</v>
      </c>
      <c r="I62" s="16"/>
      <c r="J62" s="46">
        <f>72900-J63</f>
        <v>53223</v>
      </c>
      <c r="K62" s="46">
        <f>68526-K63</f>
        <v>50029.619999999995</v>
      </c>
      <c r="L62" s="46">
        <f>4374-L63</f>
        <v>3193.38</v>
      </c>
      <c r="M62" s="21"/>
      <c r="N62" s="21"/>
      <c r="O62" s="21"/>
      <c r="P62" s="21"/>
      <c r="Q62" s="132"/>
      <c r="R62" s="69"/>
      <c r="S62" s="69"/>
      <c r="T62" s="21"/>
      <c r="U62" s="33"/>
      <c r="V62" s="15"/>
      <c r="W62" s="53"/>
      <c r="X62" s="53"/>
      <c r="Y62" s="5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spans="1:44" s="3" customFormat="1" ht="38.25" customHeight="1">
      <c r="A63" s="24">
        <v>39</v>
      </c>
      <c r="B63" s="100" t="s">
        <v>152</v>
      </c>
      <c r="C63" s="42"/>
      <c r="D63" s="13"/>
      <c r="E63" s="46"/>
      <c r="F63" s="46"/>
      <c r="G63" s="46"/>
      <c r="H63" s="42">
        <v>1.0209999999999999</v>
      </c>
      <c r="I63" s="16"/>
      <c r="J63" s="46">
        <v>19677</v>
      </c>
      <c r="K63" s="46">
        <f>J63-L63</f>
        <v>18496.38</v>
      </c>
      <c r="L63" s="46">
        <f>J63*0.06</f>
        <v>1180.6199999999999</v>
      </c>
      <c r="M63" s="21"/>
      <c r="N63" s="21"/>
      <c r="O63" s="21"/>
      <c r="P63" s="21"/>
      <c r="Q63" s="132"/>
      <c r="R63" s="69"/>
      <c r="S63" s="69"/>
      <c r="T63" s="21"/>
      <c r="U63" s="33"/>
      <c r="V63" s="15"/>
      <c r="W63" s="53"/>
      <c r="X63" s="53"/>
      <c r="Y63" s="5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</row>
    <row r="64" spans="1:44" s="3" customFormat="1" ht="29.25" customHeight="1">
      <c r="A64" s="24">
        <v>40</v>
      </c>
      <c r="B64" s="100" t="s">
        <v>122</v>
      </c>
      <c r="C64" s="42"/>
      <c r="D64" s="13"/>
      <c r="E64" s="46"/>
      <c r="F64" s="46"/>
      <c r="G64" s="46"/>
      <c r="H64" s="42">
        <v>0.85699999999999998</v>
      </c>
      <c r="I64" s="16"/>
      <c r="J64" s="46">
        <v>23953.3</v>
      </c>
      <c r="K64" s="46">
        <f>J64-L64</f>
        <v>22516.1</v>
      </c>
      <c r="L64" s="46">
        <f>J64*0.06+0.002</f>
        <v>1437.1999999999998</v>
      </c>
      <c r="M64" s="21"/>
      <c r="N64" s="21"/>
      <c r="O64" s="21"/>
      <c r="P64" s="21"/>
      <c r="Q64" s="132"/>
      <c r="R64" s="69"/>
      <c r="S64" s="69"/>
      <c r="T64" s="21"/>
      <c r="U64" s="33"/>
      <c r="V64" s="15"/>
      <c r="W64" s="53"/>
      <c r="X64" s="53"/>
      <c r="Y64" s="5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spans="1:44" s="3" customFormat="1" ht="27.2" hidden="1" customHeight="1">
      <c r="A65" s="24"/>
      <c r="B65" s="99" t="s">
        <v>8</v>
      </c>
      <c r="C65" s="28"/>
      <c r="D65" s="28"/>
      <c r="E65" s="28"/>
      <c r="F65" s="28"/>
      <c r="G65" s="28"/>
      <c r="H65" s="55"/>
      <c r="I65" s="55"/>
      <c r="J65" s="55"/>
      <c r="K65" s="55"/>
      <c r="L65" s="55"/>
      <c r="M65" s="55"/>
      <c r="N65" s="55"/>
      <c r="O65" s="55"/>
      <c r="P65" s="55"/>
      <c r="Q65" s="134"/>
      <c r="R65" s="69"/>
      <c r="S65" s="69"/>
      <c r="T65" s="21"/>
      <c r="U65" s="33"/>
      <c r="V65" s="15"/>
      <c r="W65" s="53"/>
      <c r="X65" s="53"/>
      <c r="Y65" s="5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44" s="3" customFormat="1" ht="24.75" hidden="1" customHeight="1">
      <c r="A66" s="24"/>
      <c r="B66" s="100"/>
      <c r="C66" s="27"/>
      <c r="D66" s="27"/>
      <c r="E66" s="27"/>
      <c r="F66" s="27"/>
      <c r="G66" s="27"/>
      <c r="H66" s="76"/>
      <c r="I66" s="27"/>
      <c r="J66" s="27"/>
      <c r="K66" s="27"/>
      <c r="L66" s="27"/>
      <c r="M66" s="27"/>
      <c r="N66" s="27"/>
      <c r="O66" s="27"/>
      <c r="P66" s="27"/>
      <c r="Q66" s="130"/>
      <c r="R66" s="38"/>
      <c r="S66" s="38"/>
      <c r="T66" s="23"/>
      <c r="U66" s="34"/>
      <c r="V66" s="15"/>
      <c r="W66" s="53"/>
      <c r="X66" s="53"/>
      <c r="Y66" s="5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44" s="3" customFormat="1" ht="33" customHeight="1">
      <c r="A67" s="24"/>
      <c r="B67" s="99" t="s">
        <v>9</v>
      </c>
      <c r="C67" s="16">
        <f>SUM(C69:C78)</f>
        <v>6.5810000000000013</v>
      </c>
      <c r="D67" s="14"/>
      <c r="E67" s="16">
        <f>SUM(E69:E78)</f>
        <v>75358.5</v>
      </c>
      <c r="F67" s="16">
        <f t="shared" ref="F67:G67" si="18">SUM(F69:F78)</f>
        <v>71590.600000000006</v>
      </c>
      <c r="G67" s="16">
        <f t="shared" si="18"/>
        <v>3767.9000000000051</v>
      </c>
      <c r="H67" s="55"/>
      <c r="I67" s="16"/>
      <c r="J67" s="16"/>
      <c r="K67" s="16"/>
      <c r="L67" s="16"/>
      <c r="M67" s="16"/>
      <c r="N67" s="16"/>
      <c r="O67" s="16"/>
      <c r="P67" s="16"/>
      <c r="Q67" s="18"/>
      <c r="R67" s="17">
        <f>R69</f>
        <v>3.62</v>
      </c>
      <c r="S67" s="16"/>
      <c r="T67" s="16">
        <f>T69</f>
        <v>46144</v>
      </c>
      <c r="U67" s="16">
        <f>U69</f>
        <v>43837</v>
      </c>
      <c r="V67" s="18">
        <f>V69</f>
        <v>2307</v>
      </c>
      <c r="W67" s="53"/>
      <c r="X67" s="53"/>
      <c r="Y67" s="5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44" s="3" customFormat="1" ht="29.25" customHeight="1">
      <c r="A68" s="24"/>
      <c r="B68" s="100" t="s">
        <v>70</v>
      </c>
      <c r="C68" s="16"/>
      <c r="D68" s="14"/>
      <c r="E68" s="23"/>
      <c r="F68" s="57"/>
      <c r="G68" s="16"/>
      <c r="H68" s="55"/>
      <c r="I68" s="16"/>
      <c r="J68" s="16"/>
      <c r="K68" s="16"/>
      <c r="L68" s="16"/>
      <c r="M68" s="16"/>
      <c r="N68" s="16"/>
      <c r="O68" s="16"/>
      <c r="P68" s="16"/>
      <c r="Q68" s="18"/>
      <c r="R68" s="17"/>
      <c r="S68" s="17"/>
      <c r="T68" s="16"/>
      <c r="U68" s="22"/>
      <c r="V68" s="18"/>
      <c r="W68" s="53"/>
      <c r="X68" s="53"/>
      <c r="Y68" s="5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44" s="3" customFormat="1" ht="27" customHeight="1">
      <c r="A69" s="24">
        <v>41</v>
      </c>
      <c r="B69" s="100" t="s">
        <v>54</v>
      </c>
      <c r="C69" s="42">
        <v>1.83</v>
      </c>
      <c r="D69" s="27"/>
      <c r="E69" s="46">
        <v>30133</v>
      </c>
      <c r="F69" s="90">
        <f>E69*0.95</f>
        <v>28626.35</v>
      </c>
      <c r="G69" s="90">
        <f>E69-F69</f>
        <v>1506.6500000000015</v>
      </c>
      <c r="H69" s="76"/>
      <c r="I69" s="27"/>
      <c r="J69" s="27"/>
      <c r="K69" s="27"/>
      <c r="L69" s="27"/>
      <c r="M69" s="27"/>
      <c r="N69" s="27"/>
      <c r="O69" s="27"/>
      <c r="P69" s="27"/>
      <c r="Q69" s="130"/>
      <c r="R69" s="83">
        <v>3.62</v>
      </c>
      <c r="S69" s="83"/>
      <c r="T69" s="46">
        <v>46144</v>
      </c>
      <c r="U69" s="58">
        <v>43837</v>
      </c>
      <c r="V69" s="60">
        <f>T69-U69</f>
        <v>2307</v>
      </c>
      <c r="W69" s="53"/>
      <c r="X69" s="53"/>
      <c r="Y69" s="5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44" s="3" customFormat="1" ht="27" customHeight="1">
      <c r="A70" s="24">
        <v>42</v>
      </c>
      <c r="B70" s="100" t="s">
        <v>55</v>
      </c>
      <c r="C70" s="42">
        <v>1.79</v>
      </c>
      <c r="D70" s="27"/>
      <c r="E70" s="46">
        <v>16011</v>
      </c>
      <c r="F70" s="90">
        <f>E70*0.95</f>
        <v>15210.449999999999</v>
      </c>
      <c r="G70" s="90">
        <f>E70-F70</f>
        <v>800.55000000000109</v>
      </c>
      <c r="H70" s="76"/>
      <c r="I70" s="27"/>
      <c r="J70" s="27"/>
      <c r="K70" s="27"/>
      <c r="L70" s="27"/>
      <c r="M70" s="27"/>
      <c r="N70" s="27"/>
      <c r="O70" s="27"/>
      <c r="P70" s="27"/>
      <c r="Q70" s="130"/>
      <c r="R70" s="83"/>
      <c r="S70" s="83"/>
      <c r="T70" s="46"/>
      <c r="U70" s="58"/>
      <c r="V70" s="60"/>
      <c r="W70" s="53"/>
      <c r="X70" s="53"/>
      <c r="Y70" s="5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44" s="3" customFormat="1" ht="27" customHeight="1">
      <c r="A71" s="24">
        <v>43</v>
      </c>
      <c r="B71" s="100" t="s">
        <v>95</v>
      </c>
      <c r="C71" s="42">
        <v>0.6</v>
      </c>
      <c r="D71" s="27"/>
      <c r="E71" s="46">
        <v>5485.2449999999999</v>
      </c>
      <c r="F71" s="90">
        <f>E71*0.95</f>
        <v>5210.9827499999992</v>
      </c>
      <c r="G71" s="90">
        <f>E71-F71</f>
        <v>274.26225000000068</v>
      </c>
      <c r="H71" s="122"/>
      <c r="I71" s="122"/>
      <c r="J71" s="122"/>
      <c r="K71" s="122"/>
      <c r="L71" s="122"/>
      <c r="M71" s="122"/>
      <c r="N71" s="27"/>
      <c r="O71" s="27"/>
      <c r="P71" s="27"/>
      <c r="Q71" s="130"/>
      <c r="R71" s="83"/>
      <c r="S71" s="83"/>
      <c r="T71" s="46"/>
      <c r="U71" s="58"/>
      <c r="V71" s="60"/>
      <c r="W71" s="53"/>
      <c r="X71" s="53"/>
      <c r="Y71" s="5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44" s="3" customFormat="1" ht="27" customHeight="1">
      <c r="A72" s="24">
        <v>44</v>
      </c>
      <c r="B72" s="100" t="s">
        <v>96</v>
      </c>
      <c r="C72" s="42">
        <v>0.2</v>
      </c>
      <c r="D72" s="27"/>
      <c r="E72" s="46">
        <v>1828.415</v>
      </c>
      <c r="F72" s="90">
        <f t="shared" ref="F72:F77" si="19">E72*0.95</f>
        <v>1736.99425</v>
      </c>
      <c r="G72" s="90">
        <f t="shared" ref="G72:G78" si="20">E72-F72</f>
        <v>91.420749999999998</v>
      </c>
      <c r="H72" s="122"/>
      <c r="I72" s="122"/>
      <c r="J72" s="122"/>
      <c r="K72" s="122"/>
      <c r="L72" s="122"/>
      <c r="M72" s="122"/>
      <c r="N72" s="27"/>
      <c r="O72" s="27"/>
      <c r="P72" s="27"/>
      <c r="Q72" s="130"/>
      <c r="R72" s="83"/>
      <c r="S72" s="83"/>
      <c r="T72" s="46"/>
      <c r="U72" s="58"/>
      <c r="V72" s="60"/>
      <c r="W72" s="53"/>
      <c r="X72" s="53"/>
      <c r="Y72" s="53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44" s="3" customFormat="1" ht="27" customHeight="1">
      <c r="A73" s="24">
        <v>45</v>
      </c>
      <c r="B73" s="100" t="s">
        <v>97</v>
      </c>
      <c r="C73" s="42">
        <v>0.15</v>
      </c>
      <c r="D73" s="27"/>
      <c r="E73" s="46">
        <v>1371.3050000000001</v>
      </c>
      <c r="F73" s="90">
        <f t="shared" si="19"/>
        <v>1302.73975</v>
      </c>
      <c r="G73" s="90">
        <f t="shared" si="20"/>
        <v>68.565250000000106</v>
      </c>
      <c r="H73" s="122"/>
      <c r="I73" s="122"/>
      <c r="J73" s="122"/>
      <c r="K73" s="122"/>
      <c r="L73" s="122"/>
      <c r="M73" s="122"/>
      <c r="N73" s="27"/>
      <c r="O73" s="27"/>
      <c r="P73" s="27"/>
      <c r="Q73" s="130"/>
      <c r="R73" s="83"/>
      <c r="S73" s="83"/>
      <c r="T73" s="46"/>
      <c r="U73" s="58"/>
      <c r="V73" s="60"/>
      <c r="W73" s="53"/>
      <c r="X73" s="53"/>
      <c r="Y73" s="53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spans="1:44" s="3" customFormat="1" ht="27" customHeight="1">
      <c r="A74" s="24">
        <v>46</v>
      </c>
      <c r="B74" s="100" t="s">
        <v>98</v>
      </c>
      <c r="C74" s="42">
        <v>0.4</v>
      </c>
      <c r="D74" s="27"/>
      <c r="E74" s="46">
        <v>3656.8249999999998</v>
      </c>
      <c r="F74" s="90">
        <f t="shared" si="19"/>
        <v>3473.9837499999999</v>
      </c>
      <c r="G74" s="90">
        <f t="shared" si="20"/>
        <v>182.84124999999995</v>
      </c>
      <c r="H74" s="122"/>
      <c r="I74" s="122"/>
      <c r="J74" s="122"/>
      <c r="K74" s="122"/>
      <c r="L74" s="122"/>
      <c r="M74" s="122"/>
      <c r="N74" s="27"/>
      <c r="O74" s="27"/>
      <c r="P74" s="27"/>
      <c r="Q74" s="130"/>
      <c r="R74" s="83"/>
      <c r="S74" s="83"/>
      <c r="T74" s="46"/>
      <c r="U74" s="58"/>
      <c r="V74" s="60"/>
      <c r="W74" s="53"/>
      <c r="X74" s="53"/>
      <c r="Y74" s="53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s="3" customFormat="1" ht="27" customHeight="1">
      <c r="A75" s="24">
        <v>47</v>
      </c>
      <c r="B75" s="100" t="s">
        <v>99</v>
      </c>
      <c r="C75" s="42">
        <v>0.2</v>
      </c>
      <c r="D75" s="27"/>
      <c r="E75" s="46">
        <v>1828.415</v>
      </c>
      <c r="F75" s="90">
        <f t="shared" si="19"/>
        <v>1736.99425</v>
      </c>
      <c r="G75" s="90">
        <f t="shared" si="20"/>
        <v>91.420749999999998</v>
      </c>
      <c r="H75" s="122"/>
      <c r="I75" s="122"/>
      <c r="J75" s="122"/>
      <c r="K75" s="122"/>
      <c r="L75" s="122"/>
      <c r="M75" s="122"/>
      <c r="N75" s="27"/>
      <c r="O75" s="27"/>
      <c r="P75" s="27"/>
      <c r="Q75" s="130"/>
      <c r="R75" s="83"/>
      <c r="S75" s="83"/>
      <c r="T75" s="46"/>
      <c r="U75" s="58"/>
      <c r="V75" s="60"/>
      <c r="W75" s="53"/>
      <c r="X75" s="53"/>
      <c r="Y75" s="53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spans="1:44" s="3" customFormat="1" ht="27" customHeight="1">
      <c r="A76" s="24">
        <v>48</v>
      </c>
      <c r="B76" s="100" t="s">
        <v>100</v>
      </c>
      <c r="C76" s="42">
        <v>0.2</v>
      </c>
      <c r="D76" s="27"/>
      <c r="E76" s="46">
        <v>1828.415</v>
      </c>
      <c r="F76" s="90">
        <f t="shared" si="19"/>
        <v>1736.99425</v>
      </c>
      <c r="G76" s="90">
        <f t="shared" si="20"/>
        <v>91.420749999999998</v>
      </c>
      <c r="H76" s="122"/>
      <c r="I76" s="122"/>
      <c r="J76" s="122"/>
      <c r="K76" s="122"/>
      <c r="L76" s="122"/>
      <c r="M76" s="122"/>
      <c r="N76" s="27"/>
      <c r="O76" s="27"/>
      <c r="P76" s="27"/>
      <c r="Q76" s="130"/>
      <c r="R76" s="83"/>
      <c r="S76" s="83"/>
      <c r="T76" s="46"/>
      <c r="U76" s="58"/>
      <c r="V76" s="60"/>
      <c r="W76" s="53"/>
      <c r="X76" s="53"/>
      <c r="Y76" s="53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spans="1:44" s="3" customFormat="1" ht="27" customHeight="1">
      <c r="A77" s="24">
        <v>49</v>
      </c>
      <c r="B77" s="100" t="s">
        <v>102</v>
      </c>
      <c r="C77" s="42">
        <v>0.67600000000000005</v>
      </c>
      <c r="D77" s="27"/>
      <c r="E77" s="46">
        <v>7625.2849999999999</v>
      </c>
      <c r="F77" s="90">
        <f t="shared" si="19"/>
        <v>7244.0207499999997</v>
      </c>
      <c r="G77" s="90">
        <f t="shared" si="20"/>
        <v>381.26425000000017</v>
      </c>
      <c r="H77" s="122"/>
      <c r="I77" s="122"/>
      <c r="J77" s="122"/>
      <c r="K77" s="122"/>
      <c r="L77" s="122"/>
      <c r="M77" s="122"/>
      <c r="N77" s="27"/>
      <c r="O77" s="27"/>
      <c r="P77" s="27"/>
      <c r="Q77" s="130"/>
      <c r="R77" s="83"/>
      <c r="S77" s="83"/>
      <c r="T77" s="46"/>
      <c r="U77" s="58"/>
      <c r="V77" s="60"/>
      <c r="W77" s="53"/>
      <c r="X77" s="53"/>
      <c r="Y77" s="53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s="3" customFormat="1" ht="27" customHeight="1">
      <c r="A78" s="24">
        <v>50</v>
      </c>
      <c r="B78" s="100" t="s">
        <v>101</v>
      </c>
      <c r="C78" s="42">
        <v>0.53500000000000003</v>
      </c>
      <c r="D78" s="27"/>
      <c r="E78" s="46">
        <f>5590.54+0.055</f>
        <v>5590.5950000000003</v>
      </c>
      <c r="F78" s="90">
        <f>E78*0.95+0.025</f>
        <v>5311.0902499999993</v>
      </c>
      <c r="G78" s="90">
        <f t="shared" si="20"/>
        <v>279.50475000000097</v>
      </c>
      <c r="H78" s="123"/>
      <c r="I78" s="123"/>
      <c r="J78" s="123"/>
      <c r="K78" s="123"/>
      <c r="L78" s="123"/>
      <c r="M78" s="123"/>
      <c r="N78" s="27"/>
      <c r="O78" s="27"/>
      <c r="P78" s="27"/>
      <c r="Q78" s="130"/>
      <c r="R78" s="83"/>
      <c r="S78" s="83"/>
      <c r="T78" s="46"/>
      <c r="U78" s="58"/>
      <c r="V78" s="60"/>
      <c r="W78" s="53"/>
      <c r="X78" s="53"/>
      <c r="Y78" s="53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1:44" s="3" customFormat="1" ht="33" customHeight="1">
      <c r="A79" s="24"/>
      <c r="B79" s="99" t="s">
        <v>190</v>
      </c>
      <c r="C79" s="16">
        <f>C80</f>
        <v>3.54</v>
      </c>
      <c r="D79" s="14"/>
      <c r="E79" s="16">
        <f>E80</f>
        <v>40000</v>
      </c>
      <c r="F79" s="16">
        <f t="shared" ref="F79:G79" si="21">F80</f>
        <v>38000.000005000002</v>
      </c>
      <c r="G79" s="16">
        <f t="shared" si="21"/>
        <v>1999.9999950000008</v>
      </c>
      <c r="H79" s="16"/>
      <c r="I79" s="16"/>
      <c r="J79" s="16"/>
      <c r="K79" s="16"/>
      <c r="L79" s="16"/>
      <c r="M79" s="16"/>
      <c r="N79" s="16"/>
      <c r="O79" s="16"/>
      <c r="P79" s="16"/>
      <c r="Q79" s="18"/>
      <c r="R79" s="72">
        <f>R80</f>
        <v>1.6</v>
      </c>
      <c r="S79" s="48"/>
      <c r="T79" s="16">
        <f>T80</f>
        <v>40000</v>
      </c>
      <c r="U79" s="16">
        <f>U80</f>
        <v>38000</v>
      </c>
      <c r="V79" s="18">
        <f>V80</f>
        <v>2000</v>
      </c>
      <c r="W79" s="93"/>
      <c r="X79" s="53"/>
      <c r="Y79" s="53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1:44" s="3" customFormat="1" ht="39.4" customHeight="1">
      <c r="A80" s="24"/>
      <c r="B80" s="100" t="s">
        <v>71</v>
      </c>
      <c r="C80" s="42">
        <f>SUM(C85:C89)</f>
        <v>3.54</v>
      </c>
      <c r="D80" s="27"/>
      <c r="E80" s="46">
        <f t="shared" ref="E80:G80" si="22">SUM(E85:E89)</f>
        <v>40000</v>
      </c>
      <c r="F80" s="46">
        <f t="shared" si="22"/>
        <v>38000.000005000002</v>
      </c>
      <c r="G80" s="46">
        <f t="shared" si="22"/>
        <v>1999.9999950000008</v>
      </c>
      <c r="H80" s="76"/>
      <c r="I80" s="27"/>
      <c r="J80" s="27"/>
      <c r="K80" s="27"/>
      <c r="L80" s="27"/>
      <c r="M80" s="27"/>
      <c r="N80" s="27"/>
      <c r="O80" s="27"/>
      <c r="P80" s="27"/>
      <c r="Q80" s="130"/>
      <c r="R80" s="98">
        <v>1.6</v>
      </c>
      <c r="S80" s="65"/>
      <c r="T80" s="90">
        <v>40000</v>
      </c>
      <c r="U80" s="91">
        <f>T80*0.95</f>
        <v>38000</v>
      </c>
      <c r="V80" s="92">
        <f>T80-U80</f>
        <v>2000</v>
      </c>
      <c r="W80" s="74" t="s">
        <v>24</v>
      </c>
      <c r="X80" s="53"/>
      <c r="Y80" s="53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1:44" s="3" customFormat="1" ht="27.75" hidden="1" customHeight="1">
      <c r="A81" s="24"/>
      <c r="B81" s="99" t="s">
        <v>10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8"/>
      <c r="R81" s="17">
        <f>R82</f>
        <v>4.45</v>
      </c>
      <c r="S81" s="17"/>
      <c r="T81" s="16">
        <f>T82</f>
        <v>186480</v>
      </c>
      <c r="U81" s="22">
        <f>U82</f>
        <v>186480</v>
      </c>
      <c r="V81" s="15"/>
      <c r="W81" s="53" t="s">
        <v>17</v>
      </c>
      <c r="X81" s="53"/>
      <c r="Y81" s="53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1:44" s="3" customFormat="1" ht="27.75" hidden="1" customHeight="1">
      <c r="A82" s="24"/>
      <c r="B82" s="101"/>
      <c r="C82" s="13"/>
      <c r="D82" s="13"/>
      <c r="E82" s="145"/>
      <c r="F82" s="145"/>
      <c r="G82" s="145"/>
      <c r="H82" s="48"/>
      <c r="I82" s="16"/>
      <c r="J82" s="16"/>
      <c r="K82" s="16"/>
      <c r="L82" s="21"/>
      <c r="M82" s="48"/>
      <c r="N82" s="48"/>
      <c r="O82" s="14"/>
      <c r="P82" s="14"/>
      <c r="Q82" s="20"/>
      <c r="R82" s="105">
        <v>4.45</v>
      </c>
      <c r="S82" s="72"/>
      <c r="T82" s="16">
        <v>186480</v>
      </c>
      <c r="U82" s="22">
        <f>T82</f>
        <v>186480</v>
      </c>
      <c r="V82" s="15"/>
      <c r="W82" s="53"/>
      <c r="X82" s="53"/>
      <c r="Y82" s="53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1:44" s="3" customFormat="1" ht="27" hidden="1" customHeight="1">
      <c r="A83" s="24"/>
      <c r="B83" s="100" t="s">
        <v>68</v>
      </c>
      <c r="C83" s="42"/>
      <c r="D83" s="13"/>
      <c r="E83" s="46"/>
      <c r="F83" s="90"/>
      <c r="G83" s="90"/>
      <c r="H83" s="48"/>
      <c r="I83" s="16"/>
      <c r="J83" s="16"/>
      <c r="K83" s="16"/>
      <c r="L83" s="21"/>
      <c r="M83" s="48"/>
      <c r="N83" s="48"/>
      <c r="O83" s="14"/>
      <c r="P83" s="14"/>
      <c r="Q83" s="20"/>
      <c r="R83" s="105"/>
      <c r="S83" s="72"/>
      <c r="T83" s="16"/>
      <c r="U83" s="22"/>
      <c r="V83" s="15"/>
      <c r="W83" s="53"/>
      <c r="X83" s="53"/>
      <c r="Y83" s="53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1:44" s="3" customFormat="1" ht="26.25" hidden="1" customHeight="1">
      <c r="A84" s="24"/>
      <c r="B84" s="100" t="s">
        <v>69</v>
      </c>
      <c r="C84" s="42"/>
      <c r="D84" s="13"/>
      <c r="E84" s="46"/>
      <c r="F84" s="90"/>
      <c r="G84" s="90"/>
      <c r="H84" s="48"/>
      <c r="I84" s="16"/>
      <c r="J84" s="16"/>
      <c r="K84" s="16"/>
      <c r="L84" s="21"/>
      <c r="M84" s="48"/>
      <c r="N84" s="48"/>
      <c r="O84" s="14"/>
      <c r="P84" s="14"/>
      <c r="Q84" s="20"/>
      <c r="R84" s="105"/>
      <c r="S84" s="72"/>
      <c r="T84" s="16"/>
      <c r="U84" s="22"/>
      <c r="V84" s="15"/>
      <c r="W84" s="53"/>
      <c r="X84" s="53"/>
      <c r="Y84" s="53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1:44" s="161" customFormat="1" ht="28.5" customHeight="1">
      <c r="A85" s="24">
        <v>51</v>
      </c>
      <c r="B85" s="100" t="s">
        <v>85</v>
      </c>
      <c r="C85" s="42">
        <v>0.24</v>
      </c>
      <c r="D85" s="13"/>
      <c r="E85" s="46">
        <v>2261.2043199999998</v>
      </c>
      <c r="F85" s="90">
        <f>E85*0.95</f>
        <v>2148.1441039999995</v>
      </c>
      <c r="G85" s="90">
        <f>E85-F85</f>
        <v>113.06021600000031</v>
      </c>
      <c r="H85" s="48"/>
      <c r="I85" s="16"/>
      <c r="J85" s="16"/>
      <c r="K85" s="16"/>
      <c r="L85" s="21"/>
      <c r="M85" s="48"/>
      <c r="N85" s="48"/>
      <c r="O85" s="14"/>
      <c r="P85" s="14"/>
      <c r="Q85" s="20"/>
      <c r="R85" s="105"/>
      <c r="S85" s="72"/>
      <c r="T85" s="16"/>
      <c r="U85" s="22"/>
      <c r="V85" s="15"/>
      <c r="W85" s="88"/>
      <c r="X85" s="88"/>
      <c r="Y85" s="88"/>
      <c r="Z85" s="151"/>
      <c r="AA85" s="151"/>
      <c r="AB85" s="151"/>
      <c r="AC85" s="151"/>
      <c r="AD85" s="151"/>
      <c r="AE85" s="151"/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</row>
    <row r="86" spans="1:44" s="161" customFormat="1" ht="24" customHeight="1">
      <c r="A86" s="24">
        <v>52</v>
      </c>
      <c r="B86" s="100" t="s">
        <v>182</v>
      </c>
      <c r="C86" s="42">
        <v>0.72899999999999998</v>
      </c>
      <c r="D86" s="13"/>
      <c r="E86" s="46">
        <v>11497.55026</v>
      </c>
      <c r="F86" s="90">
        <f>E86*0.95</f>
        <v>10922.672746999999</v>
      </c>
      <c r="G86" s="90">
        <f>E86-F86</f>
        <v>574.87751300000127</v>
      </c>
      <c r="H86" s="48"/>
      <c r="I86" s="16"/>
      <c r="J86" s="16"/>
      <c r="K86" s="16"/>
      <c r="L86" s="21"/>
      <c r="M86" s="48"/>
      <c r="N86" s="48"/>
      <c r="O86" s="14"/>
      <c r="P86" s="14"/>
      <c r="Q86" s="20"/>
      <c r="R86" s="105"/>
      <c r="S86" s="72"/>
      <c r="T86" s="16"/>
      <c r="U86" s="22"/>
      <c r="V86" s="15"/>
      <c r="W86" s="88"/>
      <c r="X86" s="88"/>
      <c r="Y86" s="88"/>
      <c r="Z86" s="151"/>
      <c r="AA86" s="151"/>
      <c r="AB86" s="151"/>
      <c r="AC86" s="151"/>
      <c r="AD86" s="151"/>
      <c r="AE86" s="151"/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</row>
    <row r="87" spans="1:44" s="161" customFormat="1" ht="27.2" customHeight="1">
      <c r="A87" s="24">
        <v>53</v>
      </c>
      <c r="B87" s="100" t="s">
        <v>183</v>
      </c>
      <c r="C87" s="42">
        <v>0.621</v>
      </c>
      <c r="D87" s="13"/>
      <c r="E87" s="46">
        <v>6625.7555000000002</v>
      </c>
      <c r="F87" s="90">
        <v>6294.4677300000003</v>
      </c>
      <c r="G87" s="173">
        <f>E87-F87</f>
        <v>331.28776999999991</v>
      </c>
      <c r="H87" s="48"/>
      <c r="I87" s="16"/>
      <c r="J87" s="16"/>
      <c r="K87" s="16"/>
      <c r="L87" s="21"/>
      <c r="M87" s="48"/>
      <c r="N87" s="48"/>
      <c r="O87" s="14"/>
      <c r="P87" s="14"/>
      <c r="Q87" s="20"/>
      <c r="R87" s="105"/>
      <c r="S87" s="72"/>
      <c r="T87" s="16"/>
      <c r="U87" s="22"/>
      <c r="V87" s="15"/>
      <c r="W87" s="88"/>
      <c r="X87" s="88"/>
      <c r="Y87" s="88"/>
      <c r="Z87" s="151"/>
      <c r="AA87" s="151"/>
      <c r="AB87" s="151"/>
      <c r="AC87" s="151"/>
      <c r="AD87" s="151"/>
      <c r="AE87" s="151"/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</row>
    <row r="88" spans="1:44" s="3" customFormat="1" ht="23.25" customHeight="1">
      <c r="A88" s="24">
        <v>54</v>
      </c>
      <c r="B88" s="100" t="s">
        <v>105</v>
      </c>
      <c r="C88" s="42">
        <v>0.15</v>
      </c>
      <c r="D88" s="13"/>
      <c r="E88" s="46">
        <v>1631.4956</v>
      </c>
      <c r="F88" s="90">
        <f t="shared" ref="F88:F89" si="23">E88*0.95</f>
        <v>1549.9208199999998</v>
      </c>
      <c r="G88" s="90">
        <f t="shared" ref="G88:G89" si="24">E88-F88</f>
        <v>81.574780000000146</v>
      </c>
      <c r="H88" s="48"/>
      <c r="I88" s="16"/>
      <c r="J88" s="16"/>
      <c r="K88" s="16"/>
      <c r="L88" s="21"/>
      <c r="M88" s="48"/>
      <c r="N88" s="48"/>
      <c r="O88" s="14"/>
      <c r="P88" s="14"/>
      <c r="Q88" s="20"/>
      <c r="R88" s="105"/>
      <c r="S88" s="72"/>
      <c r="T88" s="16"/>
      <c r="U88" s="22"/>
      <c r="V88" s="15"/>
      <c r="W88" s="53"/>
      <c r="X88" s="53"/>
      <c r="Y88" s="53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1:44" s="3" customFormat="1" ht="27" customHeight="1">
      <c r="A89" s="24">
        <v>55</v>
      </c>
      <c r="B89" s="100" t="s">
        <v>181</v>
      </c>
      <c r="C89" s="42">
        <v>1.8</v>
      </c>
      <c r="D89" s="13"/>
      <c r="E89" s="46">
        <v>17983.994320000002</v>
      </c>
      <c r="F89" s="90">
        <f t="shared" si="23"/>
        <v>17084.794604000002</v>
      </c>
      <c r="G89" s="90">
        <f t="shared" si="24"/>
        <v>899.19971599999917</v>
      </c>
      <c r="H89" s="48"/>
      <c r="I89" s="16"/>
      <c r="J89" s="16"/>
      <c r="K89" s="16"/>
      <c r="L89" s="21"/>
      <c r="M89" s="48"/>
      <c r="N89" s="48"/>
      <c r="O89" s="14"/>
      <c r="P89" s="14"/>
      <c r="Q89" s="20"/>
      <c r="R89" s="105"/>
      <c r="S89" s="72"/>
      <c r="T89" s="16"/>
      <c r="U89" s="22"/>
      <c r="V89" s="15"/>
      <c r="W89" s="53"/>
      <c r="X89" s="53"/>
      <c r="Y89" s="53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  <row r="90" spans="1:44" s="4" customFormat="1" ht="37.5" customHeight="1">
      <c r="A90" s="29"/>
      <c r="B90" s="99" t="s">
        <v>11</v>
      </c>
      <c r="C90" s="16">
        <f>SUM(C91:C91)</f>
        <v>2.9460000000000002</v>
      </c>
      <c r="D90" s="28"/>
      <c r="E90" s="55">
        <f>SUM(E91)</f>
        <v>40000</v>
      </c>
      <c r="F90" s="55">
        <f>SUM(F91)</f>
        <v>38000</v>
      </c>
      <c r="G90" s="55">
        <f>SUM(G91)</f>
        <v>2000</v>
      </c>
      <c r="H90" s="55"/>
      <c r="I90" s="55"/>
      <c r="J90" s="55"/>
      <c r="K90" s="55"/>
      <c r="L90" s="55"/>
      <c r="M90" s="55"/>
      <c r="N90" s="55"/>
      <c r="O90" s="55"/>
      <c r="P90" s="55"/>
      <c r="Q90" s="134"/>
      <c r="R90" s="17" t="e">
        <f>#REF!</f>
        <v>#REF!</v>
      </c>
      <c r="S90" s="16"/>
      <c r="T90" s="16" t="e">
        <f>#REF!</f>
        <v>#REF!</v>
      </c>
      <c r="U90" s="16" t="e">
        <f>#REF!</f>
        <v>#REF!</v>
      </c>
      <c r="V90" s="18" t="e">
        <f>#REF!</f>
        <v>#REF!</v>
      </c>
      <c r="W90" s="53"/>
      <c r="X90" s="53"/>
      <c r="Y90" s="53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</row>
    <row r="91" spans="1:44" s="3" customFormat="1" ht="23.25" customHeight="1">
      <c r="A91" s="24"/>
      <c r="B91" s="100" t="s">
        <v>70</v>
      </c>
      <c r="C91" s="42">
        <f>C92+C93</f>
        <v>2.9460000000000002</v>
      </c>
      <c r="D91" s="13"/>
      <c r="E91" s="76">
        <v>40000</v>
      </c>
      <c r="F91" s="76">
        <v>38000</v>
      </c>
      <c r="G91" s="76">
        <v>2000</v>
      </c>
      <c r="H91" s="30"/>
      <c r="I91" s="30"/>
      <c r="J91" s="30"/>
      <c r="K91" s="30"/>
      <c r="L91" s="30"/>
      <c r="M91" s="30"/>
      <c r="N91" s="30"/>
      <c r="O91" s="30"/>
      <c r="P91" s="30"/>
      <c r="Q91" s="135"/>
      <c r="R91" s="73"/>
      <c r="S91" s="73"/>
      <c r="T91" s="30"/>
      <c r="U91" s="35"/>
      <c r="V91" s="15"/>
      <c r="W91" s="53"/>
      <c r="X91" s="53"/>
      <c r="Y91" s="53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</row>
    <row r="92" spans="1:44" s="3" customFormat="1" ht="39.75" customHeight="1">
      <c r="A92" s="24">
        <v>56</v>
      </c>
      <c r="B92" s="100" t="s">
        <v>89</v>
      </c>
      <c r="C92" s="42">
        <v>2.1480000000000001</v>
      </c>
      <c r="D92" s="13"/>
      <c r="E92" s="76">
        <v>25783.490890000001</v>
      </c>
      <c r="F92" s="76">
        <f t="shared" ref="F92:F93" si="25">E92*0.95</f>
        <v>24494.316345499999</v>
      </c>
      <c r="G92" s="76">
        <f t="shared" ref="G92:G93" si="26">E92-F92</f>
        <v>1289.1745445000015</v>
      </c>
      <c r="H92" s="30"/>
      <c r="I92" s="30"/>
      <c r="J92" s="30"/>
      <c r="K92" s="30"/>
      <c r="L92" s="30"/>
      <c r="M92" s="30"/>
      <c r="N92" s="30"/>
      <c r="O92" s="30"/>
      <c r="P92" s="30"/>
      <c r="Q92" s="135"/>
      <c r="R92" s="73"/>
      <c r="S92" s="73"/>
      <c r="T92" s="30"/>
      <c r="U92" s="35"/>
      <c r="V92" s="15"/>
      <c r="W92" s="53"/>
      <c r="X92" s="53"/>
      <c r="Y92" s="53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</row>
    <row r="93" spans="1:44" s="3" customFormat="1" ht="24.75" customHeight="1">
      <c r="A93" s="24">
        <v>57</v>
      </c>
      <c r="B93" s="100" t="s">
        <v>90</v>
      </c>
      <c r="C93" s="42">
        <v>0.79800000000000004</v>
      </c>
      <c r="D93" s="13"/>
      <c r="E93" s="76">
        <v>14216.509110000001</v>
      </c>
      <c r="F93" s="76">
        <f t="shared" si="25"/>
        <v>13505.683654500001</v>
      </c>
      <c r="G93" s="76">
        <f t="shared" si="26"/>
        <v>710.82545550000032</v>
      </c>
      <c r="H93" s="30"/>
      <c r="I93" s="30"/>
      <c r="J93" s="30"/>
      <c r="K93" s="30"/>
      <c r="L93" s="30"/>
      <c r="M93" s="30"/>
      <c r="N93" s="30"/>
      <c r="O93" s="30"/>
      <c r="P93" s="30"/>
      <c r="Q93" s="135"/>
      <c r="R93" s="73"/>
      <c r="S93" s="73"/>
      <c r="T93" s="30"/>
      <c r="U93" s="35"/>
      <c r="V93" s="15"/>
      <c r="W93" s="53"/>
      <c r="X93" s="53"/>
      <c r="Y93" s="53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</row>
    <row r="94" spans="1:44" s="4" customFormat="1" ht="26.25" customHeight="1">
      <c r="A94" s="29"/>
      <c r="B94" s="99" t="s">
        <v>12</v>
      </c>
      <c r="C94" s="16">
        <f>SUM(C96:C98)</f>
        <v>2.5720000000000001</v>
      </c>
      <c r="D94" s="14"/>
      <c r="E94" s="16">
        <f>SUM(E96:E98)</f>
        <v>20382.600000000002</v>
      </c>
      <c r="F94" s="16">
        <f>SUM(F96:F98)</f>
        <v>19363.5</v>
      </c>
      <c r="G94" s="16">
        <f>SUM(G96:G98)</f>
        <v>1019.0999999999999</v>
      </c>
      <c r="H94" s="16"/>
      <c r="I94" s="16"/>
      <c r="J94" s="16"/>
      <c r="K94" s="16"/>
      <c r="L94" s="16"/>
      <c r="M94" s="16"/>
      <c r="N94" s="16"/>
      <c r="O94" s="16"/>
      <c r="P94" s="16"/>
      <c r="Q94" s="18"/>
      <c r="R94" s="17" t="e">
        <f>#REF!+#REF!</f>
        <v>#REF!</v>
      </c>
      <c r="S94" s="17"/>
      <c r="T94" s="16" t="e">
        <f>#REF!+#REF!</f>
        <v>#REF!</v>
      </c>
      <c r="U94" s="22" t="e">
        <f>#REF!+#REF!</f>
        <v>#REF!</v>
      </c>
      <c r="V94" s="18" t="e">
        <f>#REF!+#REF!</f>
        <v>#REF!</v>
      </c>
      <c r="W94" s="53"/>
      <c r="X94" s="53"/>
      <c r="Y94" s="53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</row>
    <row r="95" spans="1:44" s="4" customFormat="1" ht="26.25" customHeight="1">
      <c r="A95" s="29"/>
      <c r="B95" s="100" t="s">
        <v>70</v>
      </c>
      <c r="C95" s="16"/>
      <c r="D95" s="14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8"/>
      <c r="R95" s="17"/>
      <c r="S95" s="17"/>
      <c r="T95" s="16"/>
      <c r="U95" s="22"/>
      <c r="V95" s="18"/>
      <c r="W95" s="53"/>
      <c r="X95" s="53"/>
      <c r="Y95" s="53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</row>
    <row r="96" spans="1:44" s="4" customFormat="1" ht="24" customHeight="1">
      <c r="A96" s="24">
        <v>58</v>
      </c>
      <c r="B96" s="100" t="s">
        <v>47</v>
      </c>
      <c r="C96" s="42">
        <v>1.76</v>
      </c>
      <c r="D96" s="14"/>
      <c r="E96" s="76">
        <v>7523.3721500000001</v>
      </c>
      <c r="F96" s="76">
        <f>E96*0.95</f>
        <v>7147.2035424999995</v>
      </c>
      <c r="G96" s="76">
        <f>E96-F96</f>
        <v>376.16860750000069</v>
      </c>
      <c r="H96" s="16"/>
      <c r="I96" s="16"/>
      <c r="J96" s="16"/>
      <c r="K96" s="16"/>
      <c r="L96" s="16"/>
      <c r="M96" s="16"/>
      <c r="N96" s="16"/>
      <c r="O96" s="16"/>
      <c r="P96" s="16"/>
      <c r="Q96" s="18"/>
      <c r="R96" s="17"/>
      <c r="S96" s="17"/>
      <c r="T96" s="16"/>
      <c r="U96" s="22"/>
      <c r="V96" s="18"/>
      <c r="W96" s="53"/>
      <c r="X96" s="53"/>
      <c r="Y96" s="53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</row>
    <row r="97" spans="1:44" s="3" customFormat="1" ht="26.25" customHeight="1">
      <c r="A97" s="24">
        <v>59</v>
      </c>
      <c r="B97" s="100" t="s">
        <v>48</v>
      </c>
      <c r="C97" s="42">
        <v>0.59699999999999998</v>
      </c>
      <c r="D97" s="13"/>
      <c r="E97" s="76">
        <v>9970.74</v>
      </c>
      <c r="F97" s="76">
        <f>E97*0.95</f>
        <v>9472.2029999999995</v>
      </c>
      <c r="G97" s="76">
        <f>E97-F97</f>
        <v>498.53700000000026</v>
      </c>
      <c r="H97" s="21"/>
      <c r="I97" s="21"/>
      <c r="J97" s="21"/>
      <c r="K97" s="21"/>
      <c r="L97" s="21"/>
      <c r="M97" s="21"/>
      <c r="N97" s="21"/>
      <c r="O97" s="21"/>
      <c r="P97" s="21"/>
      <c r="Q97" s="132"/>
      <c r="R97" s="69"/>
      <c r="S97" s="69"/>
      <c r="T97" s="86"/>
      <c r="U97" s="87"/>
      <c r="V97" s="85"/>
      <c r="W97" s="53"/>
      <c r="X97" s="53"/>
      <c r="Y97" s="53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</row>
    <row r="98" spans="1:44" s="3" customFormat="1" ht="26.25" customHeight="1">
      <c r="A98" s="24">
        <v>60</v>
      </c>
      <c r="B98" s="100" t="s">
        <v>184</v>
      </c>
      <c r="C98" s="42">
        <v>0.215</v>
      </c>
      <c r="D98" s="13"/>
      <c r="E98" s="76">
        <v>2888.48785</v>
      </c>
      <c r="F98" s="76">
        <v>2744.093457500001</v>
      </c>
      <c r="G98" s="76">
        <f>E98-F98</f>
        <v>144.39439249999896</v>
      </c>
      <c r="H98" s="21"/>
      <c r="I98" s="21"/>
      <c r="J98" s="21"/>
      <c r="K98" s="21"/>
      <c r="L98" s="21"/>
      <c r="M98" s="21"/>
      <c r="N98" s="21"/>
      <c r="O98" s="21"/>
      <c r="P98" s="21"/>
      <c r="Q98" s="132"/>
      <c r="R98" s="69"/>
      <c r="S98" s="69"/>
      <c r="T98" s="86"/>
      <c r="U98" s="87"/>
      <c r="V98" s="85"/>
      <c r="W98" s="53"/>
      <c r="X98" s="53"/>
      <c r="Y98" s="53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</row>
    <row r="99" spans="1:44" s="4" customFormat="1" ht="27" customHeight="1">
      <c r="A99" s="29"/>
      <c r="B99" s="99" t="s">
        <v>13</v>
      </c>
      <c r="C99" s="16">
        <f>C100</f>
        <v>4.0289999999999999</v>
      </c>
      <c r="D99" s="14"/>
      <c r="E99" s="16">
        <f t="shared" ref="E99:G99" si="27">E100</f>
        <v>40000</v>
      </c>
      <c r="F99" s="16">
        <f t="shared" si="27"/>
        <v>38000</v>
      </c>
      <c r="G99" s="16">
        <f t="shared" si="27"/>
        <v>2000</v>
      </c>
      <c r="H99" s="26"/>
      <c r="I99" s="62"/>
      <c r="J99" s="62"/>
      <c r="K99" s="62"/>
      <c r="L99" s="62"/>
      <c r="M99" s="62"/>
      <c r="N99" s="62"/>
      <c r="O99" s="62"/>
      <c r="P99" s="62"/>
      <c r="Q99" s="136"/>
      <c r="R99" s="17" t="e">
        <f>#REF!</f>
        <v>#REF!</v>
      </c>
      <c r="S99" s="16"/>
      <c r="T99" s="16" t="e">
        <f>#REF!</f>
        <v>#REF!</v>
      </c>
      <c r="U99" s="16" t="e">
        <f>#REF!</f>
        <v>#REF!</v>
      </c>
      <c r="V99" s="18" t="e">
        <f>#REF!</f>
        <v>#REF!</v>
      </c>
      <c r="W99" s="89"/>
      <c r="X99" s="53"/>
      <c r="Y99" s="53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</row>
    <row r="100" spans="1:44" ht="24" customHeight="1">
      <c r="A100" s="24"/>
      <c r="B100" s="104" t="s">
        <v>70</v>
      </c>
      <c r="C100" s="42">
        <f>SUM(C101:C104)</f>
        <v>4.0289999999999999</v>
      </c>
      <c r="D100" s="13"/>
      <c r="E100" s="76">
        <v>40000</v>
      </c>
      <c r="F100" s="76">
        <v>38000</v>
      </c>
      <c r="G100" s="76">
        <v>2000</v>
      </c>
      <c r="H100" s="21"/>
      <c r="I100" s="21"/>
      <c r="J100" s="21"/>
      <c r="K100" s="21"/>
      <c r="L100" s="21"/>
      <c r="M100" s="21"/>
      <c r="N100" s="21"/>
      <c r="O100" s="21"/>
      <c r="P100" s="21"/>
      <c r="Q100" s="132"/>
      <c r="R100" s="59"/>
      <c r="S100" s="21"/>
      <c r="T100" s="21"/>
      <c r="U100" s="33"/>
      <c r="V100" s="15"/>
      <c r="W100" s="88"/>
      <c r="X100" s="53"/>
      <c r="Y100" s="53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4" ht="21.75" customHeight="1">
      <c r="A101" s="24">
        <v>61</v>
      </c>
      <c r="B101" s="104" t="s">
        <v>72</v>
      </c>
      <c r="C101" s="42">
        <v>0.53</v>
      </c>
      <c r="D101" s="13"/>
      <c r="E101" s="121">
        <v>4722.0600000000004</v>
      </c>
      <c r="F101" s="76">
        <f t="shared" ref="F101:F104" si="28">E101*0.95</f>
        <v>4485.9570000000003</v>
      </c>
      <c r="G101" s="76">
        <f t="shared" ref="G101:G104" si="29">E101-F101</f>
        <v>236.10300000000007</v>
      </c>
      <c r="H101" s="21"/>
      <c r="I101" s="21"/>
      <c r="J101" s="21"/>
      <c r="K101" s="21"/>
      <c r="L101" s="21"/>
      <c r="M101" s="21"/>
      <c r="N101" s="21"/>
      <c r="O101" s="21"/>
      <c r="P101" s="21"/>
      <c r="Q101" s="132"/>
      <c r="R101" s="59"/>
      <c r="S101" s="69"/>
      <c r="T101" s="21"/>
      <c r="U101" s="33"/>
      <c r="V101" s="15"/>
      <c r="W101" s="88"/>
      <c r="X101" s="53"/>
      <c r="Y101" s="53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4" ht="21.75" customHeight="1">
      <c r="A102" s="24">
        <v>62</v>
      </c>
      <c r="B102" s="104" t="s">
        <v>73</v>
      </c>
      <c r="C102" s="42">
        <v>1.085</v>
      </c>
      <c r="D102" s="13"/>
      <c r="E102" s="121">
        <v>12138.918</v>
      </c>
      <c r="F102" s="76">
        <f t="shared" si="28"/>
        <v>11531.972099999999</v>
      </c>
      <c r="G102" s="76">
        <f t="shared" si="29"/>
        <v>606.94590000000062</v>
      </c>
      <c r="H102" s="21"/>
      <c r="I102" s="21"/>
      <c r="J102" s="21"/>
      <c r="K102" s="21"/>
      <c r="L102" s="21"/>
      <c r="M102" s="21"/>
      <c r="N102" s="21"/>
      <c r="O102" s="21"/>
      <c r="P102" s="21"/>
      <c r="Q102" s="132"/>
      <c r="R102" s="59"/>
      <c r="S102" s="69"/>
      <c r="T102" s="21"/>
      <c r="U102" s="33"/>
      <c r="V102" s="15"/>
      <c r="W102" s="88"/>
      <c r="X102" s="53"/>
      <c r="Y102" s="53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4" ht="21.75" customHeight="1">
      <c r="A103" s="24">
        <v>63</v>
      </c>
      <c r="B103" s="104" t="s">
        <v>77</v>
      </c>
      <c r="C103" s="42">
        <v>0.95399999999999996</v>
      </c>
      <c r="D103" s="13"/>
      <c r="E103" s="121">
        <v>8785.0959999999995</v>
      </c>
      <c r="F103" s="76">
        <f t="shared" si="28"/>
        <v>8345.8411999999989</v>
      </c>
      <c r="G103" s="76">
        <f t="shared" si="29"/>
        <v>439.25480000000061</v>
      </c>
      <c r="H103" s="21"/>
      <c r="I103" s="21"/>
      <c r="J103" s="21"/>
      <c r="K103" s="21"/>
      <c r="L103" s="21"/>
      <c r="M103" s="21"/>
      <c r="N103" s="21"/>
      <c r="O103" s="21"/>
      <c r="P103" s="21"/>
      <c r="Q103" s="132"/>
      <c r="R103" s="59"/>
      <c r="S103" s="69"/>
      <c r="T103" s="21"/>
      <c r="U103" s="33"/>
      <c r="V103" s="15"/>
      <c r="W103" s="88"/>
      <c r="X103" s="53"/>
      <c r="Y103" s="53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4" ht="24" customHeight="1">
      <c r="A104" s="24">
        <v>64</v>
      </c>
      <c r="B104" s="104" t="s">
        <v>78</v>
      </c>
      <c r="C104" s="42">
        <v>1.46</v>
      </c>
      <c r="D104" s="13"/>
      <c r="E104" s="121">
        <v>14353.925999999999</v>
      </c>
      <c r="F104" s="76">
        <f t="shared" si="28"/>
        <v>13636.229699999998</v>
      </c>
      <c r="G104" s="76">
        <f t="shared" si="29"/>
        <v>717.69630000000143</v>
      </c>
      <c r="H104" s="21"/>
      <c r="I104" s="21"/>
      <c r="J104" s="21"/>
      <c r="K104" s="21"/>
      <c r="L104" s="21"/>
      <c r="M104" s="21"/>
      <c r="N104" s="21"/>
      <c r="O104" s="21"/>
      <c r="P104" s="21"/>
      <c r="Q104" s="132"/>
      <c r="R104" s="59"/>
      <c r="S104" s="69"/>
      <c r="T104" s="21"/>
      <c r="U104" s="33"/>
      <c r="V104" s="15"/>
      <c r="W104" s="88"/>
      <c r="X104" s="53"/>
      <c r="Y104" s="53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4" ht="26.25" customHeight="1">
      <c r="A105" s="24"/>
      <c r="B105" s="99" t="s">
        <v>14</v>
      </c>
      <c r="C105" s="16">
        <f>SUM(C107:C128)</f>
        <v>0.94199999999999995</v>
      </c>
      <c r="D105" s="14"/>
      <c r="E105" s="16">
        <f>SUM(E107:E128)</f>
        <v>43385</v>
      </c>
      <c r="F105" s="16">
        <f>SUM(F107:F128)</f>
        <v>41215.699999999997</v>
      </c>
      <c r="G105" s="16">
        <f>SUM(G107:G128)</f>
        <v>2169.2999999999993</v>
      </c>
      <c r="H105" s="16">
        <f>SUM(H108:H129)</f>
        <v>19.584</v>
      </c>
      <c r="I105" s="62"/>
      <c r="J105" s="16">
        <f>SUM(J108:J129)</f>
        <v>196842.09999999995</v>
      </c>
      <c r="K105" s="16">
        <f t="shared" ref="K105:L105" si="30">SUM(K108:K129)</f>
        <v>187000</v>
      </c>
      <c r="L105" s="16">
        <f t="shared" si="30"/>
        <v>9842.100000000004</v>
      </c>
      <c r="M105" s="62"/>
      <c r="N105" s="62"/>
      <c r="O105" s="62"/>
      <c r="P105" s="62"/>
      <c r="Q105" s="136"/>
      <c r="R105" s="17" t="e">
        <f>#REF!</f>
        <v>#REF!</v>
      </c>
      <c r="S105" s="17"/>
      <c r="T105" s="16" t="e">
        <f>#REF!</f>
        <v>#REF!</v>
      </c>
      <c r="U105" s="22" t="e">
        <f>#REF!</f>
        <v>#REF!</v>
      </c>
      <c r="V105" s="18" t="e">
        <f>#REF!</f>
        <v>#REF!</v>
      </c>
      <c r="W105" s="88"/>
      <c r="X105" s="53"/>
      <c r="Y105" s="53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4" ht="29.25" customHeight="1">
      <c r="A106" s="24"/>
      <c r="B106" s="104" t="s">
        <v>70</v>
      </c>
      <c r="C106" s="42">
        <f>C105</f>
        <v>0.94199999999999995</v>
      </c>
      <c r="D106" s="13"/>
      <c r="E106" s="76">
        <f>E105</f>
        <v>43385</v>
      </c>
      <c r="F106" s="76">
        <f>F105</f>
        <v>41215.699999999997</v>
      </c>
      <c r="G106" s="76">
        <f>G105</f>
        <v>2169.2999999999993</v>
      </c>
      <c r="H106" s="42">
        <f>H105</f>
        <v>19.584</v>
      </c>
      <c r="I106" s="13"/>
      <c r="J106" s="76">
        <f>J105</f>
        <v>196842.09999999995</v>
      </c>
      <c r="K106" s="76">
        <f>K105</f>
        <v>187000</v>
      </c>
      <c r="L106" s="76">
        <f>L105</f>
        <v>9842.100000000004</v>
      </c>
      <c r="M106" s="21"/>
      <c r="N106" s="21"/>
      <c r="O106" s="21"/>
      <c r="P106" s="21"/>
      <c r="Q106" s="132"/>
      <c r="R106" s="59"/>
      <c r="S106" s="21"/>
      <c r="T106" s="21"/>
      <c r="U106" s="33"/>
      <c r="V106" s="15"/>
      <c r="W106" s="88"/>
      <c r="X106" s="53"/>
      <c r="Y106" s="53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4" ht="24.75" customHeight="1">
      <c r="A107" s="24">
        <v>65</v>
      </c>
      <c r="B107" s="100" t="s">
        <v>49</v>
      </c>
      <c r="C107" s="42">
        <v>0.94199999999999995</v>
      </c>
      <c r="D107" s="25"/>
      <c r="E107" s="46">
        <v>11806</v>
      </c>
      <c r="F107" s="46">
        <v>11215.7</v>
      </c>
      <c r="G107" s="46">
        <f>E107-F107</f>
        <v>590.29999999999927</v>
      </c>
      <c r="H107" s="37"/>
      <c r="I107" s="64"/>
      <c r="J107" s="64"/>
      <c r="K107" s="64"/>
      <c r="L107" s="64"/>
      <c r="M107" s="64"/>
      <c r="N107" s="64"/>
      <c r="O107" s="64"/>
      <c r="P107" s="64"/>
      <c r="Q107" s="137"/>
      <c r="R107" s="38"/>
      <c r="S107" s="38"/>
      <c r="T107" s="23"/>
      <c r="U107" s="34"/>
      <c r="V107" s="15"/>
      <c r="W107" s="53"/>
      <c r="X107" s="53"/>
      <c r="Y107" s="53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4" ht="24.75" customHeight="1">
      <c r="A108" s="24">
        <v>66</v>
      </c>
      <c r="B108" s="100" t="s">
        <v>130</v>
      </c>
      <c r="C108" s="42"/>
      <c r="D108" s="25"/>
      <c r="E108" s="46"/>
      <c r="F108" s="46"/>
      <c r="G108" s="46"/>
      <c r="H108" s="47">
        <v>0.63</v>
      </c>
      <c r="I108" s="64"/>
      <c r="J108" s="64">
        <v>13029.3</v>
      </c>
      <c r="K108" s="64">
        <f t="shared" ref="K108:K113" si="31">J108*0.95</f>
        <v>12377.834999999999</v>
      </c>
      <c r="L108" s="64">
        <f>J108-K108</f>
        <v>651.46500000000015</v>
      </c>
      <c r="M108" s="64"/>
      <c r="N108" s="64"/>
      <c r="O108" s="64"/>
      <c r="P108" s="64"/>
      <c r="Q108" s="137"/>
      <c r="R108" s="147"/>
      <c r="S108" s="38"/>
      <c r="T108" s="23"/>
      <c r="U108" s="34"/>
      <c r="V108" s="15"/>
      <c r="W108" s="53"/>
      <c r="X108" s="53"/>
      <c r="Y108" s="53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4" ht="24.75" customHeight="1">
      <c r="A109" s="24">
        <v>67</v>
      </c>
      <c r="B109" s="100" t="s">
        <v>131</v>
      </c>
      <c r="C109" s="42"/>
      <c r="D109" s="25"/>
      <c r="E109" s="46"/>
      <c r="F109" s="46"/>
      <c r="G109" s="46"/>
      <c r="H109" s="47">
        <v>0.29499999999999998</v>
      </c>
      <c r="I109" s="64"/>
      <c r="J109" s="64">
        <v>4116</v>
      </c>
      <c r="K109" s="64">
        <f t="shared" si="31"/>
        <v>3910.2</v>
      </c>
      <c r="L109" s="64">
        <f t="shared" ref="L109:L129" si="32">J109-K109</f>
        <v>205.80000000000018</v>
      </c>
      <c r="M109" s="64"/>
      <c r="N109" s="64"/>
      <c r="O109" s="64"/>
      <c r="P109" s="64"/>
      <c r="Q109" s="137"/>
      <c r="R109" s="147"/>
      <c r="S109" s="38"/>
      <c r="T109" s="23"/>
      <c r="U109" s="34"/>
      <c r="V109" s="15"/>
      <c r="W109" s="53"/>
      <c r="X109" s="53"/>
      <c r="Y109" s="53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4" ht="24.75" customHeight="1">
      <c r="A110" s="24">
        <v>68</v>
      </c>
      <c r="B110" s="100" t="s">
        <v>172</v>
      </c>
      <c r="C110" s="42"/>
      <c r="D110" s="25"/>
      <c r="E110" s="46"/>
      <c r="F110" s="46"/>
      <c r="G110" s="46"/>
      <c r="H110" s="47">
        <v>0.56000000000000005</v>
      </c>
      <c r="I110" s="64"/>
      <c r="J110" s="64">
        <v>5366.99</v>
      </c>
      <c r="K110" s="64">
        <f t="shared" si="31"/>
        <v>5098.6404999999995</v>
      </c>
      <c r="L110" s="64">
        <f t="shared" si="32"/>
        <v>268.34950000000026</v>
      </c>
      <c r="M110" s="64"/>
      <c r="N110" s="64"/>
      <c r="O110" s="64"/>
      <c r="P110" s="64"/>
      <c r="Q110" s="137"/>
      <c r="R110" s="147"/>
      <c r="S110" s="38"/>
      <c r="T110" s="23"/>
      <c r="U110" s="34"/>
      <c r="V110" s="15"/>
      <c r="W110" s="53"/>
      <c r="X110" s="53"/>
      <c r="Y110" s="53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1:44" ht="24.75" customHeight="1">
      <c r="A111" s="24">
        <v>69</v>
      </c>
      <c r="B111" s="100" t="s">
        <v>173</v>
      </c>
      <c r="C111" s="42"/>
      <c r="D111" s="25"/>
      <c r="E111" s="46"/>
      <c r="F111" s="46"/>
      <c r="G111" s="46"/>
      <c r="H111" s="47">
        <v>1.85</v>
      </c>
      <c r="I111" s="64"/>
      <c r="J111" s="64">
        <v>8027.53</v>
      </c>
      <c r="K111" s="64">
        <f t="shared" si="31"/>
        <v>7626.1534999999994</v>
      </c>
      <c r="L111" s="64">
        <f t="shared" si="32"/>
        <v>401.37650000000031</v>
      </c>
      <c r="M111" s="64"/>
      <c r="N111" s="64"/>
      <c r="O111" s="64"/>
      <c r="P111" s="64"/>
      <c r="Q111" s="137"/>
      <c r="R111" s="147"/>
      <c r="S111" s="38"/>
      <c r="T111" s="23"/>
      <c r="U111" s="34"/>
      <c r="V111" s="15"/>
      <c r="W111" s="53"/>
      <c r="X111" s="53"/>
      <c r="Y111" s="53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1:44" ht="24.75" customHeight="1">
      <c r="A112" s="24">
        <v>70</v>
      </c>
      <c r="B112" s="100" t="s">
        <v>174</v>
      </c>
      <c r="C112" s="42"/>
      <c r="D112" s="25"/>
      <c r="E112" s="46"/>
      <c r="F112" s="46"/>
      <c r="G112" s="46"/>
      <c r="H112" s="47">
        <v>2.48</v>
      </c>
      <c r="I112" s="64"/>
      <c r="J112" s="64">
        <v>22576.89</v>
      </c>
      <c r="K112" s="64">
        <f t="shared" si="31"/>
        <v>21448.0455</v>
      </c>
      <c r="L112" s="64">
        <f t="shared" si="32"/>
        <v>1128.8444999999992</v>
      </c>
      <c r="M112" s="64"/>
      <c r="N112" s="64"/>
      <c r="O112" s="64"/>
      <c r="P112" s="64"/>
      <c r="Q112" s="137"/>
      <c r="R112" s="147"/>
      <c r="S112" s="38"/>
      <c r="T112" s="23"/>
      <c r="U112" s="34"/>
      <c r="V112" s="15"/>
      <c r="W112" s="53"/>
      <c r="X112" s="53"/>
      <c r="Y112" s="53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1:42" ht="24.75" customHeight="1">
      <c r="A113" s="24">
        <v>71</v>
      </c>
      <c r="B113" s="100" t="s">
        <v>153</v>
      </c>
      <c r="C113" s="42"/>
      <c r="D113" s="25"/>
      <c r="E113" s="46"/>
      <c r="F113" s="46"/>
      <c r="G113" s="46"/>
      <c r="H113" s="47">
        <v>0.55000000000000004</v>
      </c>
      <c r="I113" s="64"/>
      <c r="J113" s="64">
        <v>4980.22</v>
      </c>
      <c r="K113" s="64">
        <f t="shared" si="31"/>
        <v>4731.2089999999998</v>
      </c>
      <c r="L113" s="64">
        <f t="shared" si="32"/>
        <v>249.01100000000042</v>
      </c>
      <c r="M113" s="64"/>
      <c r="N113" s="64"/>
      <c r="O113" s="64"/>
      <c r="P113" s="64"/>
      <c r="Q113" s="137"/>
      <c r="R113" s="147"/>
      <c r="S113" s="38"/>
      <c r="T113" s="23"/>
      <c r="U113" s="34"/>
      <c r="V113" s="15"/>
      <c r="W113" s="53"/>
      <c r="X113" s="53"/>
      <c r="Y113" s="53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1:42" ht="24.75" customHeight="1">
      <c r="A114" s="24">
        <v>72</v>
      </c>
      <c r="B114" s="100" t="s">
        <v>132</v>
      </c>
      <c r="C114" s="42"/>
      <c r="D114" s="25"/>
      <c r="E114" s="46">
        <v>31579</v>
      </c>
      <c r="F114" s="46">
        <v>30000</v>
      </c>
      <c r="G114" s="46">
        <f>E114-F114</f>
        <v>1579</v>
      </c>
      <c r="H114" s="47">
        <v>1.4850000000000001</v>
      </c>
      <c r="I114" s="64"/>
      <c r="J114" s="64">
        <v>6733.9</v>
      </c>
      <c r="K114" s="64">
        <f>J114*0.95+0.005</f>
        <v>6397.2099999999991</v>
      </c>
      <c r="L114" s="64">
        <f t="shared" si="32"/>
        <v>336.69000000000051</v>
      </c>
      <c r="M114" s="64"/>
      <c r="N114" s="64"/>
      <c r="O114" s="64"/>
      <c r="P114" s="64"/>
      <c r="Q114" s="137"/>
      <c r="R114" s="147"/>
      <c r="S114" s="38"/>
      <c r="T114" s="23"/>
      <c r="U114" s="34"/>
      <c r="V114" s="15"/>
      <c r="W114" s="53"/>
      <c r="X114" s="53"/>
      <c r="Y114" s="53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1:42" ht="24.75" customHeight="1">
      <c r="A115" s="24">
        <v>73</v>
      </c>
      <c r="B115" s="100" t="s">
        <v>133</v>
      </c>
      <c r="C115" s="42"/>
      <c r="D115" s="25"/>
      <c r="E115" s="46"/>
      <c r="F115" s="46"/>
      <c r="G115" s="46"/>
      <c r="H115" s="47">
        <v>0.94499999999999995</v>
      </c>
      <c r="I115" s="64"/>
      <c r="J115" s="64">
        <v>16761.8</v>
      </c>
      <c r="K115" s="64">
        <f t="shared" ref="K115:K129" si="33">J115*0.95</f>
        <v>15923.71</v>
      </c>
      <c r="L115" s="64">
        <f t="shared" si="32"/>
        <v>838.09000000000015</v>
      </c>
      <c r="M115" s="64"/>
      <c r="N115" s="64"/>
      <c r="O115" s="64"/>
      <c r="P115" s="64"/>
      <c r="Q115" s="137"/>
      <c r="R115" s="147"/>
      <c r="S115" s="38"/>
      <c r="T115" s="23"/>
      <c r="U115" s="34"/>
      <c r="V115" s="15"/>
      <c r="W115" s="53"/>
      <c r="X115" s="53"/>
      <c r="Y115" s="53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1:42" ht="24.75" customHeight="1">
      <c r="A116" s="24">
        <v>74</v>
      </c>
      <c r="B116" s="100" t="s">
        <v>175</v>
      </c>
      <c r="C116" s="42"/>
      <c r="D116" s="25"/>
      <c r="E116" s="46"/>
      <c r="F116" s="46"/>
      <c r="G116" s="46"/>
      <c r="H116" s="47">
        <v>0.56999999999999995</v>
      </c>
      <c r="I116" s="64"/>
      <c r="J116" s="64">
        <v>8366.7099999999991</v>
      </c>
      <c r="K116" s="64">
        <f t="shared" si="33"/>
        <v>7948.374499999999</v>
      </c>
      <c r="L116" s="64">
        <f t="shared" si="32"/>
        <v>418.33550000000014</v>
      </c>
      <c r="M116" s="64"/>
      <c r="N116" s="64"/>
      <c r="O116" s="64"/>
      <c r="P116" s="64"/>
      <c r="Q116" s="137"/>
      <c r="R116" s="147"/>
      <c r="S116" s="38"/>
      <c r="T116" s="23"/>
      <c r="U116" s="34"/>
      <c r="V116" s="15"/>
      <c r="W116" s="53"/>
      <c r="X116" s="53"/>
      <c r="Y116" s="53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1:42" ht="24.75" customHeight="1">
      <c r="A117" s="24">
        <v>75</v>
      </c>
      <c r="B117" s="100" t="s">
        <v>176</v>
      </c>
      <c r="C117" s="42"/>
      <c r="D117" s="25"/>
      <c r="E117" s="46"/>
      <c r="F117" s="46"/>
      <c r="G117" s="46"/>
      <c r="H117" s="47">
        <v>0.29299999999999998</v>
      </c>
      <c r="I117" s="64"/>
      <c r="J117" s="64">
        <v>3638.95</v>
      </c>
      <c r="K117" s="64">
        <f t="shared" si="33"/>
        <v>3457.0024999999996</v>
      </c>
      <c r="L117" s="64">
        <f t="shared" si="32"/>
        <v>181.94750000000022</v>
      </c>
      <c r="M117" s="64"/>
      <c r="N117" s="64"/>
      <c r="O117" s="64"/>
      <c r="P117" s="64"/>
      <c r="Q117" s="137"/>
      <c r="R117" s="147"/>
      <c r="S117" s="38"/>
      <c r="T117" s="23"/>
      <c r="U117" s="34"/>
      <c r="V117" s="15"/>
      <c r="W117" s="53"/>
      <c r="X117" s="53"/>
      <c r="Y117" s="53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1:42" ht="24.75" customHeight="1">
      <c r="A118" s="24">
        <v>76</v>
      </c>
      <c r="B118" s="100" t="s">
        <v>177</v>
      </c>
      <c r="C118" s="42"/>
      <c r="D118" s="25"/>
      <c r="E118" s="46"/>
      <c r="F118" s="46"/>
      <c r="G118" s="46"/>
      <c r="H118" s="47">
        <v>0.51300000000000001</v>
      </c>
      <c r="I118" s="64"/>
      <c r="J118" s="64">
        <v>6310.36</v>
      </c>
      <c r="K118" s="64">
        <f t="shared" si="33"/>
        <v>5994.8419999999996</v>
      </c>
      <c r="L118" s="64">
        <f t="shared" si="32"/>
        <v>315.51800000000003</v>
      </c>
      <c r="M118" s="64"/>
      <c r="N118" s="64"/>
      <c r="O118" s="64"/>
      <c r="P118" s="64"/>
      <c r="Q118" s="137"/>
      <c r="R118" s="147"/>
      <c r="S118" s="38"/>
      <c r="T118" s="23"/>
      <c r="U118" s="34"/>
      <c r="V118" s="15"/>
      <c r="W118" s="53"/>
      <c r="X118" s="53"/>
      <c r="Y118" s="53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1:42" ht="24.75" customHeight="1">
      <c r="A119" s="24">
        <v>77</v>
      </c>
      <c r="B119" s="100" t="s">
        <v>178</v>
      </c>
      <c r="C119" s="42"/>
      <c r="D119" s="25"/>
      <c r="E119" s="46"/>
      <c r="F119" s="46"/>
      <c r="G119" s="46"/>
      <c r="H119" s="47">
        <v>0.55300000000000005</v>
      </c>
      <c r="I119" s="64"/>
      <c r="J119" s="64">
        <v>1586.18</v>
      </c>
      <c r="K119" s="64">
        <f t="shared" si="33"/>
        <v>1506.8710000000001</v>
      </c>
      <c r="L119" s="64">
        <f t="shared" si="32"/>
        <v>79.308999999999969</v>
      </c>
      <c r="M119" s="64"/>
      <c r="N119" s="64"/>
      <c r="O119" s="64"/>
      <c r="P119" s="64"/>
      <c r="Q119" s="137"/>
      <c r="R119" s="147"/>
      <c r="S119" s="38"/>
      <c r="T119" s="23"/>
      <c r="U119" s="34"/>
      <c r="V119" s="15"/>
      <c r="W119" s="53"/>
      <c r="X119" s="53"/>
      <c r="Y119" s="53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1:42" ht="24.75" customHeight="1">
      <c r="A120" s="24">
        <v>78</v>
      </c>
      <c r="B120" s="100" t="s">
        <v>154</v>
      </c>
      <c r="C120" s="42"/>
      <c r="D120" s="25"/>
      <c r="E120" s="46"/>
      <c r="F120" s="46"/>
      <c r="G120" s="46"/>
      <c r="H120" s="47">
        <v>0.56000000000000005</v>
      </c>
      <c r="I120" s="64"/>
      <c r="J120" s="64">
        <v>744.5</v>
      </c>
      <c r="K120" s="64">
        <f t="shared" si="33"/>
        <v>707.27499999999998</v>
      </c>
      <c r="L120" s="64">
        <f t="shared" si="32"/>
        <v>37.225000000000023</v>
      </c>
      <c r="M120" s="64"/>
      <c r="N120" s="64"/>
      <c r="O120" s="64"/>
      <c r="P120" s="64"/>
      <c r="Q120" s="137"/>
      <c r="R120" s="147"/>
      <c r="S120" s="38"/>
      <c r="T120" s="23"/>
      <c r="U120" s="34"/>
      <c r="V120" s="15"/>
      <c r="W120" s="53"/>
      <c r="X120" s="53"/>
      <c r="Y120" s="53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1:42" ht="24.75" customHeight="1">
      <c r="A121" s="24">
        <v>79</v>
      </c>
      <c r="B121" s="100" t="s">
        <v>136</v>
      </c>
      <c r="C121" s="42"/>
      <c r="D121" s="25"/>
      <c r="E121" s="46"/>
      <c r="F121" s="46"/>
      <c r="G121" s="46"/>
      <c r="H121" s="47">
        <v>0.45</v>
      </c>
      <c r="I121" s="64"/>
      <c r="J121" s="64">
        <v>902.66</v>
      </c>
      <c r="K121" s="64">
        <f t="shared" si="33"/>
        <v>857.52699999999993</v>
      </c>
      <c r="L121" s="64">
        <f t="shared" si="32"/>
        <v>45.133000000000038</v>
      </c>
      <c r="M121" s="64"/>
      <c r="N121" s="64"/>
      <c r="O121" s="64"/>
      <c r="P121" s="64"/>
      <c r="Q121" s="137"/>
      <c r="R121" s="147"/>
      <c r="S121" s="38"/>
      <c r="T121" s="23"/>
      <c r="U121" s="34"/>
      <c r="V121" s="15"/>
      <c r="W121" s="53"/>
      <c r="X121" s="53"/>
      <c r="Y121" s="53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1:42" ht="24.75" customHeight="1">
      <c r="A122" s="24">
        <v>80</v>
      </c>
      <c r="B122" s="100" t="s">
        <v>155</v>
      </c>
      <c r="C122" s="42"/>
      <c r="D122" s="25"/>
      <c r="E122" s="46"/>
      <c r="F122" s="46"/>
      <c r="G122" s="46"/>
      <c r="H122" s="47">
        <v>0.56000000000000005</v>
      </c>
      <c r="I122" s="64"/>
      <c r="J122" s="64">
        <v>6842.73</v>
      </c>
      <c r="K122" s="64">
        <f t="shared" si="33"/>
        <v>6500.593499999999</v>
      </c>
      <c r="L122" s="64">
        <f t="shared" si="32"/>
        <v>342.13650000000052</v>
      </c>
      <c r="M122" s="64"/>
      <c r="N122" s="64"/>
      <c r="O122" s="64"/>
      <c r="P122" s="64"/>
      <c r="Q122" s="137"/>
      <c r="R122" s="147"/>
      <c r="S122" s="38"/>
      <c r="T122" s="23"/>
      <c r="U122" s="34"/>
      <c r="V122" s="15"/>
      <c r="W122" s="53"/>
      <c r="X122" s="53"/>
      <c r="Y122" s="53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1:42" ht="24.75" customHeight="1">
      <c r="A123" s="24">
        <v>81</v>
      </c>
      <c r="B123" s="100" t="s">
        <v>156</v>
      </c>
      <c r="C123" s="42"/>
      <c r="D123" s="25"/>
      <c r="E123" s="46"/>
      <c r="F123" s="46"/>
      <c r="G123" s="46"/>
      <c r="H123" s="47">
        <v>3.1</v>
      </c>
      <c r="I123" s="64"/>
      <c r="J123" s="64">
        <v>23443.919999999998</v>
      </c>
      <c r="K123" s="64">
        <f t="shared" si="33"/>
        <v>22271.723999999998</v>
      </c>
      <c r="L123" s="64">
        <f t="shared" si="32"/>
        <v>1172.1959999999999</v>
      </c>
      <c r="M123" s="64"/>
      <c r="N123" s="64"/>
      <c r="O123" s="64"/>
      <c r="P123" s="64"/>
      <c r="Q123" s="137"/>
      <c r="R123" s="147"/>
      <c r="S123" s="38"/>
      <c r="T123" s="23"/>
      <c r="U123" s="34"/>
      <c r="V123" s="15"/>
      <c r="W123" s="53"/>
      <c r="X123" s="53"/>
      <c r="Y123" s="53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1:42" ht="24.75" customHeight="1">
      <c r="A124" s="24">
        <v>82</v>
      </c>
      <c r="B124" s="100" t="s">
        <v>157</v>
      </c>
      <c r="C124" s="42"/>
      <c r="D124" s="25"/>
      <c r="E124" s="46"/>
      <c r="F124" s="46"/>
      <c r="G124" s="46"/>
      <c r="H124" s="47">
        <v>0.88100000000000001</v>
      </c>
      <c r="I124" s="64"/>
      <c r="J124" s="64">
        <v>8561.6</v>
      </c>
      <c r="K124" s="64">
        <f t="shared" si="33"/>
        <v>8133.5199999999995</v>
      </c>
      <c r="L124" s="64">
        <f t="shared" si="32"/>
        <v>428.08000000000084</v>
      </c>
      <c r="M124" s="64"/>
      <c r="N124" s="64"/>
      <c r="O124" s="64"/>
      <c r="P124" s="64"/>
      <c r="Q124" s="137"/>
      <c r="R124" s="147"/>
      <c r="S124" s="38"/>
      <c r="T124" s="23"/>
      <c r="U124" s="34"/>
      <c r="V124" s="15"/>
      <c r="W124" s="53"/>
      <c r="X124" s="53"/>
      <c r="Y124" s="53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1:42" ht="24.75" customHeight="1">
      <c r="A125" s="24">
        <v>83</v>
      </c>
      <c r="B125" s="100" t="s">
        <v>179</v>
      </c>
      <c r="C125" s="42"/>
      <c r="D125" s="25"/>
      <c r="E125" s="46"/>
      <c r="F125" s="46"/>
      <c r="G125" s="46"/>
      <c r="H125" s="47">
        <v>1.78</v>
      </c>
      <c r="I125" s="64"/>
      <c r="J125" s="64">
        <v>21754.86</v>
      </c>
      <c r="K125" s="64">
        <f t="shared" si="33"/>
        <v>20667.116999999998</v>
      </c>
      <c r="L125" s="64">
        <f t="shared" si="32"/>
        <v>1087.7430000000022</v>
      </c>
      <c r="M125" s="64"/>
      <c r="N125" s="64"/>
      <c r="O125" s="64"/>
      <c r="P125" s="64"/>
      <c r="Q125" s="137"/>
      <c r="R125" s="147"/>
      <c r="S125" s="38"/>
      <c r="T125" s="23"/>
      <c r="U125" s="34"/>
      <c r="V125" s="15"/>
      <c r="W125" s="53"/>
      <c r="X125" s="53"/>
      <c r="Y125" s="53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1:42" ht="24.75" customHeight="1">
      <c r="A126" s="24">
        <v>84</v>
      </c>
      <c r="B126" s="100" t="s">
        <v>134</v>
      </c>
      <c r="C126" s="42"/>
      <c r="D126" s="25"/>
      <c r="E126" s="46"/>
      <c r="F126" s="46"/>
      <c r="G126" s="46"/>
      <c r="H126" s="47">
        <v>0.47099999999999997</v>
      </c>
      <c r="I126" s="64"/>
      <c r="J126" s="64">
        <v>23435.99</v>
      </c>
      <c r="K126" s="64">
        <f t="shared" si="33"/>
        <v>22264.190500000001</v>
      </c>
      <c r="L126" s="64">
        <f t="shared" si="32"/>
        <v>1171.799500000001</v>
      </c>
      <c r="M126" s="64"/>
      <c r="N126" s="64"/>
      <c r="O126" s="64"/>
      <c r="P126" s="64"/>
      <c r="Q126" s="137"/>
      <c r="R126" s="147"/>
      <c r="S126" s="38"/>
      <c r="T126" s="23"/>
      <c r="U126" s="34"/>
      <c r="V126" s="15"/>
      <c r="W126" s="53"/>
      <c r="X126" s="53"/>
      <c r="Y126" s="53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 ht="24.75" customHeight="1">
      <c r="A127" s="24">
        <v>85</v>
      </c>
      <c r="B127" s="100" t="s">
        <v>137</v>
      </c>
      <c r="C127" s="42"/>
      <c r="D127" s="25"/>
      <c r="E127" s="46"/>
      <c r="F127" s="46"/>
      <c r="G127" s="46"/>
      <c r="H127" s="47">
        <v>0.253</v>
      </c>
      <c r="I127" s="64"/>
      <c r="J127" s="64">
        <v>2296.52</v>
      </c>
      <c r="K127" s="64">
        <f t="shared" si="33"/>
        <v>2181.694</v>
      </c>
      <c r="L127" s="64">
        <f t="shared" si="32"/>
        <v>114.82600000000002</v>
      </c>
      <c r="M127" s="64"/>
      <c r="N127" s="64"/>
      <c r="O127" s="64"/>
      <c r="P127" s="64"/>
      <c r="Q127" s="137"/>
      <c r="R127" s="147"/>
      <c r="S127" s="38"/>
      <c r="T127" s="23"/>
      <c r="U127" s="34"/>
      <c r="V127" s="15"/>
      <c r="W127" s="53"/>
      <c r="X127" s="53"/>
      <c r="Y127" s="53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 ht="24.75" customHeight="1">
      <c r="A128" s="24">
        <v>86</v>
      </c>
      <c r="B128" s="100" t="s">
        <v>180</v>
      </c>
      <c r="C128" s="42"/>
      <c r="D128" s="25"/>
      <c r="E128" s="46"/>
      <c r="F128" s="46"/>
      <c r="G128" s="46"/>
      <c r="H128" s="47">
        <v>0.61</v>
      </c>
      <c r="I128" s="64"/>
      <c r="J128" s="64">
        <v>6400.81</v>
      </c>
      <c r="K128" s="64">
        <f t="shared" si="33"/>
        <v>6080.7695000000003</v>
      </c>
      <c r="L128" s="64">
        <f t="shared" si="32"/>
        <v>320.04050000000007</v>
      </c>
      <c r="M128" s="64"/>
      <c r="N128" s="64"/>
      <c r="O128" s="64"/>
      <c r="P128" s="64"/>
      <c r="Q128" s="137"/>
      <c r="R128" s="147"/>
      <c r="S128" s="38"/>
      <c r="T128" s="23"/>
      <c r="U128" s="34"/>
      <c r="V128" s="15"/>
      <c r="W128" s="53"/>
      <c r="X128" s="53"/>
      <c r="Y128" s="53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1:42" ht="24.75" customHeight="1">
      <c r="A129" s="24">
        <v>87</v>
      </c>
      <c r="B129" s="100" t="s">
        <v>135</v>
      </c>
      <c r="C129" s="42"/>
      <c r="D129" s="25"/>
      <c r="E129" s="46"/>
      <c r="F129" s="46"/>
      <c r="G129" s="46"/>
      <c r="H129" s="47">
        <v>0.19500000000000001</v>
      </c>
      <c r="I129" s="64"/>
      <c r="J129" s="64">
        <v>963.68</v>
      </c>
      <c r="K129" s="64">
        <f t="shared" si="33"/>
        <v>915.49599999999987</v>
      </c>
      <c r="L129" s="64">
        <f t="shared" si="32"/>
        <v>48.184000000000083</v>
      </c>
      <c r="M129" s="64"/>
      <c r="N129" s="64"/>
      <c r="O129" s="64"/>
      <c r="P129" s="64"/>
      <c r="Q129" s="137"/>
      <c r="R129" s="147"/>
      <c r="S129" s="38"/>
      <c r="T129" s="23"/>
      <c r="U129" s="34"/>
      <c r="V129" s="15"/>
      <c r="W129" s="53"/>
      <c r="X129" s="53"/>
      <c r="Y129" s="53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1:42" ht="30" customHeight="1">
      <c r="A130" s="24"/>
      <c r="B130" s="99" t="s">
        <v>31</v>
      </c>
      <c r="C130" s="16">
        <f>C131</f>
        <v>3.4420000000000002</v>
      </c>
      <c r="D130" s="14"/>
      <c r="E130" s="16">
        <f t="shared" ref="E130:G130" si="34">E131</f>
        <v>40000</v>
      </c>
      <c r="F130" s="16">
        <f t="shared" si="34"/>
        <v>38000</v>
      </c>
      <c r="G130" s="16">
        <f t="shared" si="34"/>
        <v>2000.0000000000018</v>
      </c>
      <c r="H130" s="16"/>
      <c r="I130" s="16"/>
      <c r="J130" s="16"/>
      <c r="K130" s="16"/>
      <c r="L130" s="23"/>
      <c r="M130" s="23"/>
      <c r="N130" s="23"/>
      <c r="O130" s="23"/>
      <c r="P130" s="23"/>
      <c r="Q130" s="138"/>
      <c r="R130" s="50">
        <f>R131</f>
        <v>1.6</v>
      </c>
      <c r="S130" s="16"/>
      <c r="T130" s="16">
        <f>T131</f>
        <v>40000</v>
      </c>
      <c r="U130" s="22">
        <f>U131</f>
        <v>38000</v>
      </c>
      <c r="V130" s="18">
        <f>V131</f>
        <v>2000</v>
      </c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1:42" ht="27" customHeight="1">
      <c r="A131" s="159"/>
      <c r="B131" s="104" t="s">
        <v>70</v>
      </c>
      <c r="C131" s="42">
        <f>SUM(C132:C134)</f>
        <v>3.4420000000000002</v>
      </c>
      <c r="D131" s="46"/>
      <c r="E131" s="46">
        <f>SUM(E132:E134)</f>
        <v>40000</v>
      </c>
      <c r="F131" s="46">
        <f>SUM(F132:F134)</f>
        <v>38000</v>
      </c>
      <c r="G131" s="46">
        <f>SUM(G132:G134)</f>
        <v>2000.0000000000018</v>
      </c>
      <c r="H131" s="16"/>
      <c r="I131" s="16"/>
      <c r="J131" s="16"/>
      <c r="K131" s="16"/>
      <c r="L131" s="23"/>
      <c r="M131" s="23"/>
      <c r="N131" s="23"/>
      <c r="O131" s="23"/>
      <c r="P131" s="23"/>
      <c r="Q131" s="138"/>
      <c r="R131" s="98">
        <v>1.6</v>
      </c>
      <c r="S131" s="65"/>
      <c r="T131" s="90">
        <v>40000</v>
      </c>
      <c r="U131" s="91">
        <f>T131*0.95</f>
        <v>38000</v>
      </c>
      <c r="V131" s="92">
        <f>T131-U131</f>
        <v>2000</v>
      </c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1:42" ht="27.95" customHeight="1">
      <c r="A132" s="24">
        <v>88</v>
      </c>
      <c r="B132" s="100" t="s">
        <v>87</v>
      </c>
      <c r="C132" s="42">
        <v>1.3140000000000001</v>
      </c>
      <c r="D132" s="46"/>
      <c r="E132" s="46">
        <v>17566.088390000001</v>
      </c>
      <c r="F132" s="46">
        <f t="shared" ref="F132:F134" si="35">E132*0.95</f>
        <v>16687.783970500001</v>
      </c>
      <c r="G132" s="46">
        <f t="shared" ref="G132:G134" si="36">E132-F132</f>
        <v>878.30441950000022</v>
      </c>
      <c r="H132" s="16"/>
      <c r="I132" s="16"/>
      <c r="J132" s="16"/>
      <c r="K132" s="16"/>
      <c r="L132" s="23"/>
      <c r="M132" s="23"/>
      <c r="N132" s="23"/>
      <c r="O132" s="23"/>
      <c r="P132" s="23"/>
      <c r="Q132" s="138"/>
      <c r="R132" s="98"/>
      <c r="S132" s="65"/>
      <c r="T132" s="90"/>
      <c r="U132" s="91"/>
      <c r="V132" s="9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1:42" ht="27.95" customHeight="1">
      <c r="A133" s="24">
        <v>89</v>
      </c>
      <c r="B133" s="100" t="s">
        <v>86</v>
      </c>
      <c r="C133" s="42">
        <v>0.75600000000000001</v>
      </c>
      <c r="D133" s="46"/>
      <c r="E133" s="46">
        <v>16488.924930000001</v>
      </c>
      <c r="F133" s="46">
        <f t="shared" si="35"/>
        <v>15664.4786835</v>
      </c>
      <c r="G133" s="46">
        <f t="shared" si="36"/>
        <v>824.44624650000151</v>
      </c>
      <c r="H133" s="16"/>
      <c r="I133" s="16"/>
      <c r="J133" s="16"/>
      <c r="K133" s="16"/>
      <c r="L133" s="23"/>
      <c r="M133" s="23"/>
      <c r="N133" s="23"/>
      <c r="O133" s="23"/>
      <c r="P133" s="23"/>
      <c r="Q133" s="138"/>
      <c r="R133" s="98"/>
      <c r="S133" s="65"/>
      <c r="T133" s="90"/>
      <c r="U133" s="91"/>
      <c r="V133" s="9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1:42" ht="29.25" customHeight="1">
      <c r="A134" s="24">
        <v>90</v>
      </c>
      <c r="B134" s="100" t="s">
        <v>113</v>
      </c>
      <c r="C134" s="42">
        <v>1.3720000000000001</v>
      </c>
      <c r="D134" s="46"/>
      <c r="E134" s="46">
        <v>5944.98668</v>
      </c>
      <c r="F134" s="46">
        <f t="shared" si="35"/>
        <v>5647.7373459999999</v>
      </c>
      <c r="G134" s="46">
        <f t="shared" si="36"/>
        <v>297.24933400000009</v>
      </c>
      <c r="H134" s="16"/>
      <c r="I134" s="16"/>
      <c r="J134" s="16"/>
      <c r="K134" s="16"/>
      <c r="L134" s="23"/>
      <c r="M134" s="23"/>
      <c r="N134" s="23"/>
      <c r="O134" s="23"/>
      <c r="P134" s="23"/>
      <c r="Q134" s="138"/>
      <c r="R134" s="98"/>
      <c r="S134" s="65"/>
      <c r="T134" s="90"/>
      <c r="U134" s="91"/>
      <c r="V134" s="9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1:42" ht="36" hidden="1" customHeight="1">
      <c r="A135" s="24"/>
      <c r="B135" s="99" t="s">
        <v>15</v>
      </c>
      <c r="C135" s="16">
        <f>C136</f>
        <v>0</v>
      </c>
      <c r="D135" s="16">
        <f>D137</f>
        <v>0</v>
      </c>
      <c r="E135" s="16">
        <f>SUM(E136:E137)</f>
        <v>0</v>
      </c>
      <c r="F135" s="16">
        <f t="shared" ref="F135:G135" si="37">SUM(F136:F137)</f>
        <v>0</v>
      </c>
      <c r="G135" s="16">
        <f t="shared" si="37"/>
        <v>0</v>
      </c>
      <c r="H135" s="26"/>
      <c r="I135" s="62"/>
      <c r="J135" s="62"/>
      <c r="K135" s="62"/>
      <c r="L135" s="62"/>
      <c r="M135" s="62"/>
      <c r="N135" s="62"/>
      <c r="O135" s="62"/>
      <c r="P135" s="62"/>
      <c r="Q135" s="136"/>
      <c r="R135" s="17">
        <f>R136</f>
        <v>1.6</v>
      </c>
      <c r="S135" s="16" t="e">
        <f>#REF!</f>
        <v>#REF!</v>
      </c>
      <c r="T135" s="16" t="e">
        <f>T136+#REF!</f>
        <v>#REF!</v>
      </c>
      <c r="U135" s="16" t="e">
        <f>U136+#REF!</f>
        <v>#REF!</v>
      </c>
      <c r="V135" s="18" t="e">
        <f>V136+#REF!</f>
        <v>#REF!</v>
      </c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1:42" ht="24.75" hidden="1" customHeight="1">
      <c r="A136" s="24"/>
      <c r="B136" s="100" t="s">
        <v>91</v>
      </c>
      <c r="C136" s="42"/>
      <c r="D136" s="13"/>
      <c r="E136" s="46"/>
      <c r="F136" s="46"/>
      <c r="G136" s="46"/>
      <c r="H136" s="21"/>
      <c r="I136" s="21"/>
      <c r="J136" s="21"/>
      <c r="K136" s="21"/>
      <c r="L136" s="21"/>
      <c r="M136" s="21"/>
      <c r="N136" s="21"/>
      <c r="O136" s="21"/>
      <c r="P136" s="21"/>
      <c r="Q136" s="132"/>
      <c r="R136" s="98">
        <v>1.6</v>
      </c>
      <c r="S136" s="69"/>
      <c r="T136" s="46">
        <v>40000</v>
      </c>
      <c r="U136" s="81">
        <f>T136*0.94</f>
        <v>37600</v>
      </c>
      <c r="V136" s="60">
        <f>T136-U136</f>
        <v>2400</v>
      </c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1:42" ht="42" hidden="1" customHeight="1">
      <c r="A137" s="24"/>
      <c r="B137" s="100" t="s">
        <v>106</v>
      </c>
      <c r="C137" s="13"/>
      <c r="D137" s="46"/>
      <c r="E137" s="46"/>
      <c r="F137" s="46"/>
      <c r="G137" s="46"/>
      <c r="H137" s="21"/>
      <c r="I137" s="21"/>
      <c r="J137" s="21"/>
      <c r="K137" s="21"/>
      <c r="L137" s="21"/>
      <c r="M137" s="21"/>
      <c r="N137" s="21"/>
      <c r="O137" s="21"/>
      <c r="P137" s="21"/>
      <c r="Q137" s="132"/>
      <c r="R137" s="98"/>
      <c r="S137" s="69"/>
      <c r="T137" s="46"/>
      <c r="U137" s="81"/>
      <c r="V137" s="60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1:42" ht="30" customHeight="1">
      <c r="A138" s="24"/>
      <c r="B138" s="99" t="s">
        <v>16</v>
      </c>
      <c r="C138" s="16">
        <f>SUM(C139:C149)</f>
        <v>8.3800000000000008</v>
      </c>
      <c r="D138" s="16"/>
      <c r="E138" s="16">
        <f>SUM(E139:E149)</f>
        <v>87848.3</v>
      </c>
      <c r="F138" s="16">
        <f>SUM(F139:F149)</f>
        <v>83455.899999999994</v>
      </c>
      <c r="G138" s="16">
        <f>SUM(G139:G149)</f>
        <v>4392.4000000000033</v>
      </c>
      <c r="H138" s="26"/>
      <c r="I138" s="62"/>
      <c r="J138" s="62"/>
      <c r="K138" s="62"/>
      <c r="L138" s="62"/>
      <c r="M138" s="62"/>
      <c r="N138" s="62"/>
      <c r="O138" s="62"/>
      <c r="P138" s="62"/>
      <c r="Q138" s="136"/>
      <c r="R138" s="17">
        <f>R139</f>
        <v>2.9140000000000001</v>
      </c>
      <c r="S138" s="16"/>
      <c r="T138" s="16">
        <f>T139</f>
        <v>40000</v>
      </c>
      <c r="U138" s="16">
        <f>U139</f>
        <v>38000</v>
      </c>
      <c r="V138" s="18">
        <f>V139</f>
        <v>2000</v>
      </c>
      <c r="W138" s="66" t="e">
        <f>O138+#REF!</f>
        <v>#REF!</v>
      </c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1:42" ht="27.95" customHeight="1">
      <c r="A139" s="24">
        <v>91</v>
      </c>
      <c r="B139" s="100" t="s">
        <v>121</v>
      </c>
      <c r="C139" s="42">
        <v>0.79</v>
      </c>
      <c r="D139" s="25"/>
      <c r="E139" s="46">
        <v>13951</v>
      </c>
      <c r="F139" s="46">
        <f>E139*0.95-0.05</f>
        <v>13253.4</v>
      </c>
      <c r="G139" s="46">
        <f>E139-F139</f>
        <v>697.60000000000036</v>
      </c>
      <c r="H139" s="47"/>
      <c r="I139" s="63"/>
      <c r="J139" s="63"/>
      <c r="K139" s="63"/>
      <c r="L139" s="63"/>
      <c r="M139" s="63"/>
      <c r="N139" s="63"/>
      <c r="O139" s="63"/>
      <c r="P139" s="63"/>
      <c r="Q139" s="139"/>
      <c r="R139" s="98">
        <f>1.439+1.475</f>
        <v>2.9140000000000001</v>
      </c>
      <c r="S139" s="38"/>
      <c r="T139" s="46">
        <v>40000</v>
      </c>
      <c r="U139" s="81">
        <f>T139*0.95</f>
        <v>38000</v>
      </c>
      <c r="V139" s="60">
        <f>T139-U139</f>
        <v>2000</v>
      </c>
      <c r="W139" s="66" t="e">
        <f>P138+#REF!</f>
        <v>#REF!</v>
      </c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1:42" ht="27.95" customHeight="1">
      <c r="A140" s="24">
        <v>92</v>
      </c>
      <c r="B140" s="100" t="s">
        <v>120</v>
      </c>
      <c r="C140" s="42">
        <v>0.28999999999999998</v>
      </c>
      <c r="D140" s="25"/>
      <c r="E140" s="46">
        <v>10331</v>
      </c>
      <c r="F140" s="46">
        <f>E140*0.95+0.05</f>
        <v>9814.4999999999982</v>
      </c>
      <c r="G140" s="46">
        <f t="shared" ref="G140:G148" si="38">E140-F140</f>
        <v>516.50000000000182</v>
      </c>
      <c r="H140" s="47"/>
      <c r="I140" s="63"/>
      <c r="J140" s="63"/>
      <c r="K140" s="63"/>
      <c r="L140" s="63"/>
      <c r="M140" s="63"/>
      <c r="N140" s="63"/>
      <c r="O140" s="63"/>
      <c r="P140" s="63"/>
      <c r="Q140" s="139"/>
      <c r="R140" s="98"/>
      <c r="S140" s="38"/>
      <c r="T140" s="46"/>
      <c r="U140" s="81"/>
      <c r="V140" s="60"/>
      <c r="W140" s="66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1:42" ht="27.95" customHeight="1">
      <c r="A141" s="24">
        <v>93</v>
      </c>
      <c r="B141" s="100" t="s">
        <v>61</v>
      </c>
      <c r="C141" s="42">
        <v>0.51500000000000001</v>
      </c>
      <c r="D141" s="25"/>
      <c r="E141" s="46">
        <v>5928.4</v>
      </c>
      <c r="F141" s="46">
        <f>E141*0.95+0.02</f>
        <v>5632</v>
      </c>
      <c r="G141" s="46">
        <f t="shared" si="38"/>
        <v>296.39999999999964</v>
      </c>
      <c r="H141" s="47"/>
      <c r="I141" s="63"/>
      <c r="J141" s="63"/>
      <c r="K141" s="63"/>
      <c r="L141" s="63"/>
      <c r="M141" s="63"/>
      <c r="N141" s="63"/>
      <c r="O141" s="63"/>
      <c r="P141" s="63"/>
      <c r="Q141" s="139"/>
      <c r="R141" s="98"/>
      <c r="S141" s="38"/>
      <c r="T141" s="46"/>
      <c r="U141" s="81"/>
      <c r="V141" s="60"/>
      <c r="W141" s="66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1:42" ht="27.95" customHeight="1">
      <c r="A142" s="24">
        <v>94</v>
      </c>
      <c r="B142" s="100" t="s">
        <v>109</v>
      </c>
      <c r="C142" s="42">
        <v>1.66</v>
      </c>
      <c r="D142" s="25"/>
      <c r="E142" s="46">
        <v>7546.4</v>
      </c>
      <c r="F142" s="46">
        <f>E142*0.95+0.02</f>
        <v>7169.0999999999995</v>
      </c>
      <c r="G142" s="46">
        <f t="shared" si="38"/>
        <v>377.30000000000018</v>
      </c>
      <c r="H142" s="47"/>
      <c r="I142" s="63"/>
      <c r="J142" s="63"/>
      <c r="K142" s="63"/>
      <c r="L142" s="63"/>
      <c r="M142" s="63"/>
      <c r="N142" s="63"/>
      <c r="O142" s="63"/>
      <c r="P142" s="63"/>
      <c r="Q142" s="139"/>
      <c r="R142" s="98"/>
      <c r="S142" s="38"/>
      <c r="T142" s="46"/>
      <c r="U142" s="81"/>
      <c r="V142" s="60"/>
      <c r="W142" s="66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1:42" ht="27.95" customHeight="1">
      <c r="A143" s="24">
        <v>95</v>
      </c>
      <c r="B143" s="100" t="s">
        <v>56</v>
      </c>
      <c r="C143" s="42">
        <v>0.59</v>
      </c>
      <c r="D143" s="25"/>
      <c r="E143" s="46">
        <v>5804.4</v>
      </c>
      <c r="F143" s="46">
        <f>E143*0.95+0.02</f>
        <v>5514.2</v>
      </c>
      <c r="G143" s="46">
        <f t="shared" si="38"/>
        <v>290.19999999999982</v>
      </c>
      <c r="H143" s="47"/>
      <c r="I143" s="63"/>
      <c r="J143" s="63"/>
      <c r="K143" s="63"/>
      <c r="L143" s="63"/>
      <c r="M143" s="63"/>
      <c r="N143" s="63"/>
      <c r="O143" s="63"/>
      <c r="P143" s="63"/>
      <c r="Q143" s="139"/>
      <c r="R143" s="98"/>
      <c r="S143" s="38"/>
      <c r="T143" s="46"/>
      <c r="U143" s="81"/>
      <c r="V143" s="60"/>
      <c r="W143" s="66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1:42" ht="27.95" customHeight="1">
      <c r="A144" s="24">
        <v>96</v>
      </c>
      <c r="B144" s="100" t="s">
        <v>57</v>
      </c>
      <c r="C144" s="42">
        <v>1.95</v>
      </c>
      <c r="D144" s="25"/>
      <c r="E144" s="46">
        <v>17428.400000000001</v>
      </c>
      <c r="F144" s="46">
        <f>E144*0.95+0.02</f>
        <v>16557</v>
      </c>
      <c r="G144" s="46">
        <f t="shared" si="38"/>
        <v>871.40000000000146</v>
      </c>
      <c r="H144" s="47"/>
      <c r="I144" s="63"/>
      <c r="J144" s="63"/>
      <c r="K144" s="63"/>
      <c r="L144" s="63"/>
      <c r="M144" s="63"/>
      <c r="N144" s="63"/>
      <c r="O144" s="63"/>
      <c r="P144" s="63"/>
      <c r="Q144" s="139"/>
      <c r="R144" s="98"/>
      <c r="S144" s="38"/>
      <c r="T144" s="46"/>
      <c r="U144" s="81"/>
      <c r="V144" s="60"/>
      <c r="W144" s="66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1:42" ht="27.95" customHeight="1">
      <c r="A145" s="24">
        <v>97</v>
      </c>
      <c r="B145" s="100" t="s">
        <v>58</v>
      </c>
      <c r="C145" s="42">
        <v>0.26</v>
      </c>
      <c r="D145" s="25"/>
      <c r="E145" s="46">
        <v>2361.6</v>
      </c>
      <c r="F145" s="46">
        <f>E145*0.95-0.02</f>
        <v>2243.5</v>
      </c>
      <c r="G145" s="46">
        <f t="shared" si="38"/>
        <v>118.09999999999991</v>
      </c>
      <c r="H145" s="47"/>
      <c r="I145" s="63"/>
      <c r="J145" s="63"/>
      <c r="K145" s="63"/>
      <c r="L145" s="63"/>
      <c r="M145" s="63"/>
      <c r="N145" s="63"/>
      <c r="O145" s="63"/>
      <c r="P145" s="63"/>
      <c r="Q145" s="139"/>
      <c r="R145" s="98"/>
      <c r="S145" s="38"/>
      <c r="T145" s="46"/>
      <c r="U145" s="81"/>
      <c r="V145" s="60"/>
      <c r="W145" s="66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1:42" ht="27.95" customHeight="1">
      <c r="A146" s="24">
        <v>98</v>
      </c>
      <c r="B146" s="100" t="s">
        <v>94</v>
      </c>
      <c r="C146" s="42">
        <v>7.0000000000000007E-2</v>
      </c>
      <c r="D146" s="25"/>
      <c r="E146" s="46">
        <v>769.2</v>
      </c>
      <c r="F146" s="46">
        <f>E146*0.95-0.04</f>
        <v>730.7</v>
      </c>
      <c r="G146" s="46">
        <f t="shared" si="38"/>
        <v>38.5</v>
      </c>
      <c r="H146" s="47"/>
      <c r="I146" s="63"/>
      <c r="J146" s="63"/>
      <c r="K146" s="63"/>
      <c r="L146" s="63"/>
      <c r="M146" s="63"/>
      <c r="N146" s="63"/>
      <c r="O146" s="63"/>
      <c r="P146" s="63"/>
      <c r="Q146" s="139"/>
      <c r="R146" s="98"/>
      <c r="S146" s="38"/>
      <c r="T146" s="46"/>
      <c r="U146" s="81"/>
      <c r="V146" s="60"/>
      <c r="W146" s="66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1:42" ht="27.95" customHeight="1">
      <c r="A147" s="24">
        <v>99</v>
      </c>
      <c r="B147" s="100" t="s">
        <v>59</v>
      </c>
      <c r="C147" s="42">
        <v>0.4</v>
      </c>
      <c r="D147" s="25"/>
      <c r="E147" s="46">
        <v>3501.4</v>
      </c>
      <c r="F147" s="46">
        <f>E147*0.95+0.07</f>
        <v>3326.4</v>
      </c>
      <c r="G147" s="46">
        <f t="shared" si="38"/>
        <v>175</v>
      </c>
      <c r="H147" s="47"/>
      <c r="I147" s="63"/>
      <c r="J147" s="63"/>
      <c r="K147" s="63"/>
      <c r="L147" s="63"/>
      <c r="M147" s="63"/>
      <c r="N147" s="63"/>
      <c r="O147" s="63"/>
      <c r="P147" s="63"/>
      <c r="Q147" s="139"/>
      <c r="R147" s="98"/>
      <c r="S147" s="38"/>
      <c r="T147" s="46"/>
      <c r="U147" s="81"/>
      <c r="V147" s="60"/>
      <c r="W147" s="66"/>
      <c r="X147" s="2" t="s">
        <v>108</v>
      </c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1:42" ht="27.95" customHeight="1">
      <c r="A148" s="24">
        <v>100</v>
      </c>
      <c r="B148" s="100" t="s">
        <v>119</v>
      </c>
      <c r="C148" s="42">
        <v>0.63</v>
      </c>
      <c r="D148" s="25"/>
      <c r="E148" s="46">
        <v>9978.2000000000007</v>
      </c>
      <c r="F148" s="46">
        <f>E148*0.95-0.09</f>
        <v>9479.2000000000007</v>
      </c>
      <c r="G148" s="46">
        <f t="shared" si="38"/>
        <v>499</v>
      </c>
      <c r="H148" s="47"/>
      <c r="I148" s="63"/>
      <c r="J148" s="63"/>
      <c r="K148" s="63"/>
      <c r="L148" s="63"/>
      <c r="M148" s="63"/>
      <c r="N148" s="63"/>
      <c r="O148" s="63"/>
      <c r="P148" s="63"/>
      <c r="Q148" s="139"/>
      <c r="R148" s="98"/>
      <c r="S148" s="38"/>
      <c r="T148" s="46"/>
      <c r="U148" s="81"/>
      <c r="V148" s="60"/>
      <c r="W148" s="66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1:42" ht="27.75" customHeight="1">
      <c r="A149" s="24">
        <v>101</v>
      </c>
      <c r="B149" s="100" t="s">
        <v>123</v>
      </c>
      <c r="C149" s="42">
        <v>1.2250000000000001</v>
      </c>
      <c r="D149" s="25"/>
      <c r="E149" s="46">
        <v>10248.299999999999</v>
      </c>
      <c r="F149" s="46">
        <v>9735.9</v>
      </c>
      <c r="G149" s="46">
        <f>E149-F149</f>
        <v>512.39999999999964</v>
      </c>
      <c r="H149" s="47"/>
      <c r="I149" s="63"/>
      <c r="J149" s="63"/>
      <c r="K149" s="63"/>
      <c r="L149" s="63"/>
      <c r="M149" s="63"/>
      <c r="N149" s="63"/>
      <c r="O149" s="63"/>
      <c r="P149" s="63"/>
      <c r="Q149" s="139"/>
      <c r="R149" s="98"/>
      <c r="S149" s="38"/>
      <c r="T149" s="46"/>
      <c r="U149" s="81"/>
      <c r="V149" s="60"/>
      <c r="W149" s="66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1:42" ht="27" customHeight="1">
      <c r="A150" s="24"/>
      <c r="B150" s="99" t="s">
        <v>18</v>
      </c>
      <c r="C150" s="16">
        <f>C151</f>
        <v>1.2070000000000001</v>
      </c>
      <c r="D150" s="16"/>
      <c r="E150" s="16">
        <f>E151</f>
        <v>40000</v>
      </c>
      <c r="F150" s="16">
        <f>F151</f>
        <v>37600</v>
      </c>
      <c r="G150" s="16">
        <f>G151</f>
        <v>2400</v>
      </c>
      <c r="H150" s="16"/>
      <c r="I150" s="16"/>
      <c r="J150" s="16"/>
      <c r="K150" s="16"/>
      <c r="L150" s="23"/>
      <c r="M150" s="23"/>
      <c r="N150" s="23"/>
      <c r="O150" s="23"/>
      <c r="P150" s="23"/>
      <c r="Q150" s="138"/>
      <c r="R150" s="17">
        <f>R151</f>
        <v>1.6</v>
      </c>
      <c r="S150" s="16"/>
      <c r="T150" s="16">
        <f>T151</f>
        <v>40000</v>
      </c>
      <c r="U150" s="16">
        <f>U151</f>
        <v>37600</v>
      </c>
      <c r="V150" s="18">
        <f>V151</f>
        <v>2400</v>
      </c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1:42" ht="30" customHeight="1">
      <c r="A151" s="24">
        <v>102</v>
      </c>
      <c r="B151" s="100" t="s">
        <v>88</v>
      </c>
      <c r="C151" s="42">
        <v>1.2070000000000001</v>
      </c>
      <c r="D151" s="46"/>
      <c r="E151" s="46">
        <v>40000</v>
      </c>
      <c r="F151" s="46">
        <v>37600</v>
      </c>
      <c r="G151" s="46">
        <v>2400</v>
      </c>
      <c r="H151" s="16"/>
      <c r="I151" s="16"/>
      <c r="J151" s="16"/>
      <c r="K151" s="16"/>
      <c r="L151" s="23"/>
      <c r="M151" s="23"/>
      <c r="N151" s="23"/>
      <c r="O151" s="23"/>
      <c r="P151" s="23"/>
      <c r="Q151" s="138"/>
      <c r="R151" s="98">
        <v>1.6</v>
      </c>
      <c r="S151" s="83"/>
      <c r="T151" s="46">
        <v>40000</v>
      </c>
      <c r="U151" s="58">
        <f>T151*0.94</f>
        <v>37600</v>
      </c>
      <c r="V151" s="60">
        <f>T151-U151</f>
        <v>2400</v>
      </c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1:42" ht="27.2" hidden="1" customHeight="1">
      <c r="A152" s="24"/>
      <c r="B152" s="99" t="s">
        <v>19</v>
      </c>
      <c r="C152" s="14"/>
      <c r="D152" s="14"/>
      <c r="E152" s="14"/>
      <c r="F152" s="14"/>
      <c r="G152" s="14"/>
      <c r="H152" s="26"/>
      <c r="I152" s="14"/>
      <c r="J152" s="14"/>
      <c r="K152" s="14"/>
      <c r="L152" s="14"/>
      <c r="M152" s="14"/>
      <c r="N152" s="14"/>
      <c r="O152" s="14"/>
      <c r="P152" s="14"/>
      <c r="Q152" s="20"/>
      <c r="R152" s="69"/>
      <c r="S152" s="69"/>
      <c r="T152" s="21"/>
      <c r="U152" s="33"/>
      <c r="V152" s="15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1:42" ht="27.2" hidden="1" customHeight="1">
      <c r="A153" s="24"/>
      <c r="B153" s="99"/>
      <c r="C153" s="14"/>
      <c r="D153" s="14"/>
      <c r="E153" s="14"/>
      <c r="F153" s="14"/>
      <c r="G153" s="14"/>
      <c r="H153" s="26"/>
      <c r="I153" s="14"/>
      <c r="J153" s="14"/>
      <c r="K153" s="14"/>
      <c r="L153" s="14"/>
      <c r="M153" s="14"/>
      <c r="N153" s="14"/>
      <c r="O153" s="14"/>
      <c r="P153" s="14"/>
      <c r="Q153" s="20"/>
      <c r="R153" s="69"/>
      <c r="S153" s="69"/>
      <c r="T153" s="21"/>
      <c r="U153" s="33"/>
      <c r="V153" s="15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spans="1:42" ht="27.75" customHeight="1">
      <c r="A154" s="24"/>
      <c r="B154" s="99" t="s">
        <v>20</v>
      </c>
      <c r="C154" s="16">
        <f>C155+C156+C157+C158</f>
        <v>20.812999999999995</v>
      </c>
      <c r="D154" s="16"/>
      <c r="E154" s="16">
        <f>SUM(E155:E158)</f>
        <v>406351.12902999995</v>
      </c>
      <c r="F154" s="16">
        <f t="shared" ref="F154:G154" si="39">SUM(F155:F158)</f>
        <v>377906.5</v>
      </c>
      <c r="G154" s="16">
        <f t="shared" si="39"/>
        <v>28444.629029999996</v>
      </c>
      <c r="H154" s="16">
        <f>H159</f>
        <v>1.1080000000000001</v>
      </c>
      <c r="I154" s="16"/>
      <c r="J154" s="16">
        <f>J159</f>
        <v>22096.9</v>
      </c>
      <c r="K154" s="16">
        <f>K159</f>
        <v>20550.099999999999</v>
      </c>
      <c r="L154" s="16">
        <f>L159</f>
        <v>1546.8000000000029</v>
      </c>
      <c r="M154" s="16"/>
      <c r="N154" s="16"/>
      <c r="O154" s="16"/>
      <c r="P154" s="16"/>
      <c r="Q154" s="18"/>
      <c r="R154" s="17" t="e">
        <f>#REF!+#REF!</f>
        <v>#REF!</v>
      </c>
      <c r="S154" s="16"/>
      <c r="T154" s="16" t="e">
        <f>#REF!+#REF!</f>
        <v>#REF!</v>
      </c>
      <c r="U154" s="16" t="e">
        <f>#REF!+#REF!</f>
        <v>#REF!</v>
      </c>
      <c r="V154" s="18" t="e">
        <f>#REF!+#REF!</f>
        <v>#REF!</v>
      </c>
      <c r="W154" s="2"/>
      <c r="X154" s="2" t="s">
        <v>23</v>
      </c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spans="1:42" ht="30.75" customHeight="1">
      <c r="A155" s="24">
        <v>103</v>
      </c>
      <c r="B155" s="103" t="s">
        <v>50</v>
      </c>
      <c r="C155" s="42">
        <v>13.45</v>
      </c>
      <c r="D155" s="13"/>
      <c r="E155" s="46">
        <v>275135</v>
      </c>
      <c r="F155" s="46">
        <v>255875.5</v>
      </c>
      <c r="G155" s="46">
        <f>E155-F155</f>
        <v>19259.5</v>
      </c>
      <c r="H155" s="21"/>
      <c r="I155" s="21"/>
      <c r="J155" s="21"/>
      <c r="K155" s="21"/>
      <c r="L155" s="21"/>
      <c r="M155" s="21"/>
      <c r="N155" s="21"/>
      <c r="O155" s="21"/>
      <c r="P155" s="21"/>
      <c r="Q155" s="132"/>
      <c r="R155" s="69"/>
      <c r="S155" s="69"/>
      <c r="T155" s="21"/>
      <c r="U155" s="33"/>
      <c r="V155" s="15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1:42" ht="27" customHeight="1">
      <c r="A156" s="24">
        <v>104</v>
      </c>
      <c r="B156" s="103" t="s">
        <v>75</v>
      </c>
      <c r="C156" s="42">
        <v>5.3250000000000002</v>
      </c>
      <c r="D156" s="13"/>
      <c r="E156" s="46">
        <v>66700</v>
      </c>
      <c r="F156" s="46">
        <v>62031</v>
      </c>
      <c r="G156" s="46">
        <f>E156-F156</f>
        <v>4669</v>
      </c>
      <c r="H156" s="21"/>
      <c r="I156" s="21"/>
      <c r="J156" s="21"/>
      <c r="K156" s="21"/>
      <c r="L156" s="21"/>
      <c r="M156" s="21"/>
      <c r="N156" s="21"/>
      <c r="O156" s="21"/>
      <c r="P156" s="21"/>
      <c r="Q156" s="132"/>
      <c r="R156" s="69"/>
      <c r="S156" s="69"/>
      <c r="T156" s="21"/>
      <c r="U156" s="33"/>
      <c r="V156" s="15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1:42" ht="27.75" customHeight="1">
      <c r="A157" s="24">
        <v>105</v>
      </c>
      <c r="B157" s="100" t="s">
        <v>128</v>
      </c>
      <c r="C157" s="42">
        <v>0.80100000000000005</v>
      </c>
      <c r="D157" s="13"/>
      <c r="E157" s="46">
        <v>44604.712379999997</v>
      </c>
      <c r="F157" s="46">
        <f>E157*0.93</f>
        <v>41482.3825134</v>
      </c>
      <c r="G157" s="46">
        <f>E157-F157</f>
        <v>3122.3298665999973</v>
      </c>
      <c r="H157" s="21"/>
      <c r="I157" s="21"/>
      <c r="J157" s="21"/>
      <c r="K157" s="21"/>
      <c r="L157" s="21"/>
      <c r="M157" s="21"/>
      <c r="N157" s="21"/>
      <c r="O157" s="21"/>
      <c r="P157" s="21"/>
      <c r="Q157" s="132"/>
      <c r="R157" s="69"/>
      <c r="S157" s="69"/>
      <c r="T157" s="21"/>
      <c r="U157" s="33"/>
      <c r="V157" s="15"/>
      <c r="W157" s="146">
        <f>F157/E157*100</f>
        <v>93</v>
      </c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1:42" ht="45.75" customHeight="1">
      <c r="A158" s="7">
        <v>106</v>
      </c>
      <c r="B158" s="100" t="s">
        <v>129</v>
      </c>
      <c r="C158" s="42">
        <v>1.2370000000000001</v>
      </c>
      <c r="D158" s="13"/>
      <c r="E158" s="46">
        <v>19911.416649999999</v>
      </c>
      <c r="F158" s="46">
        <f>60000-F157</f>
        <v>18517.6174866</v>
      </c>
      <c r="G158" s="46">
        <f>E158-F158</f>
        <v>1393.7991633999991</v>
      </c>
      <c r="H158" s="21"/>
      <c r="I158" s="21"/>
      <c r="J158" s="21"/>
      <c r="K158" s="21"/>
      <c r="L158" s="21"/>
      <c r="M158" s="21"/>
      <c r="N158" s="21"/>
      <c r="O158" s="21"/>
      <c r="P158" s="21"/>
      <c r="Q158" s="132"/>
      <c r="R158" s="69"/>
      <c r="S158" s="69"/>
      <c r="T158" s="21"/>
      <c r="U158" s="33"/>
      <c r="V158" s="15"/>
      <c r="W158" s="146">
        <f>F158/E158*100</f>
        <v>93.000000010546714</v>
      </c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1:42" ht="42" customHeight="1">
      <c r="A159" s="7">
        <v>107</v>
      </c>
      <c r="B159" s="100" t="s">
        <v>107</v>
      </c>
      <c r="C159" s="42"/>
      <c r="D159" s="13"/>
      <c r="E159" s="46"/>
      <c r="F159" s="46"/>
      <c r="G159" s="46"/>
      <c r="H159" s="42">
        <f>0.816+0.192+0.1</f>
        <v>1.1080000000000001</v>
      </c>
      <c r="I159" s="16"/>
      <c r="J159" s="46">
        <v>22096.9</v>
      </c>
      <c r="K159" s="46">
        <v>20550.099999999999</v>
      </c>
      <c r="L159" s="46">
        <f>J159-K159</f>
        <v>1546.8000000000029</v>
      </c>
      <c r="M159" s="21"/>
      <c r="N159" s="21"/>
      <c r="O159" s="21"/>
      <c r="P159" s="21"/>
      <c r="Q159" s="132"/>
      <c r="R159" s="69"/>
      <c r="S159" s="69"/>
      <c r="T159" s="21"/>
      <c r="U159" s="33"/>
      <c r="V159" s="15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1:42" ht="33" customHeight="1">
      <c r="A160" s="7"/>
      <c r="B160" s="102" t="s">
        <v>191</v>
      </c>
      <c r="C160" s="16">
        <f>SUM(C161:C169)</f>
        <v>5.101</v>
      </c>
      <c r="D160" s="14"/>
      <c r="E160" s="16">
        <f>SUM(E161:E169)</f>
        <v>61202.34</v>
      </c>
      <c r="F160" s="16">
        <f t="shared" ref="F160:G160" si="40">SUM(F161:F169)</f>
        <v>57530.200000000004</v>
      </c>
      <c r="G160" s="16">
        <f t="shared" si="40"/>
        <v>3672.14</v>
      </c>
      <c r="H160" s="16"/>
      <c r="I160" s="16"/>
      <c r="J160" s="16"/>
      <c r="K160" s="16"/>
      <c r="L160" s="16"/>
      <c r="M160" s="16"/>
      <c r="N160" s="16"/>
      <c r="O160" s="16"/>
      <c r="P160" s="16"/>
      <c r="Q160" s="18"/>
      <c r="R160" s="17" t="e">
        <f>R162+#REF!</f>
        <v>#REF!</v>
      </c>
      <c r="S160" s="17"/>
      <c r="T160" s="16" t="e">
        <f>T162+#REF!</f>
        <v>#REF!</v>
      </c>
      <c r="U160" s="22" t="e">
        <f>U162+#REF!</f>
        <v>#REF!</v>
      </c>
      <c r="V160" s="18" t="e">
        <f>V162+#REF!</f>
        <v>#REF!</v>
      </c>
      <c r="W160" s="2"/>
      <c r="X160" s="2"/>
      <c r="Y160" s="2" t="s">
        <v>26</v>
      </c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1:42" ht="27" customHeight="1">
      <c r="A161" s="24">
        <v>108</v>
      </c>
      <c r="B161" s="103" t="s">
        <v>52</v>
      </c>
      <c r="C161" s="42">
        <v>0.78</v>
      </c>
      <c r="D161" s="14"/>
      <c r="E161" s="46">
        <v>12372.75</v>
      </c>
      <c r="F161" s="46">
        <v>11630.385</v>
      </c>
      <c r="G161" s="46">
        <f>E161-F161</f>
        <v>742.36499999999978</v>
      </c>
      <c r="H161" s="16"/>
      <c r="I161" s="16"/>
      <c r="J161" s="16"/>
      <c r="K161" s="16"/>
      <c r="L161" s="16"/>
      <c r="M161" s="16"/>
      <c r="N161" s="16"/>
      <c r="O161" s="16"/>
      <c r="P161" s="16"/>
      <c r="Q161" s="18"/>
      <c r="R161" s="17"/>
      <c r="S161" s="17"/>
      <c r="T161" s="16"/>
      <c r="U161" s="22"/>
      <c r="V161" s="18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1:42" ht="27" customHeight="1">
      <c r="A162" s="24">
        <v>109</v>
      </c>
      <c r="B162" s="103" t="s">
        <v>124</v>
      </c>
      <c r="C162" s="42">
        <v>0.18</v>
      </c>
      <c r="D162" s="13"/>
      <c r="E162" s="46">
        <v>2612.3604</v>
      </c>
      <c r="F162" s="46">
        <v>2455.6210000000001</v>
      </c>
      <c r="G162" s="46">
        <f t="shared" ref="G162:G169" si="41">E162-F162</f>
        <v>156.73939999999993</v>
      </c>
      <c r="H162" s="43"/>
      <c r="I162" s="16"/>
      <c r="J162" s="16"/>
      <c r="K162" s="16"/>
      <c r="L162" s="21"/>
      <c r="M162" s="21"/>
      <c r="N162" s="21"/>
      <c r="O162" s="21"/>
      <c r="P162" s="21"/>
      <c r="Q162" s="132"/>
      <c r="R162" s="105">
        <v>9.4879999999999995</v>
      </c>
      <c r="S162" s="70"/>
      <c r="T162" s="16">
        <v>132500</v>
      </c>
      <c r="U162" s="22">
        <f>T162</f>
        <v>132500</v>
      </c>
      <c r="V162" s="18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1:42" ht="27" customHeight="1">
      <c r="A163" s="24">
        <v>110</v>
      </c>
      <c r="B163" s="103" t="s">
        <v>125</v>
      </c>
      <c r="C163" s="42">
        <v>0.87</v>
      </c>
      <c r="D163" s="13"/>
      <c r="E163" s="46">
        <v>17967.313999999998</v>
      </c>
      <c r="F163" s="46">
        <v>16889.3</v>
      </c>
      <c r="G163" s="46">
        <f t="shared" si="41"/>
        <v>1078.0139999999992</v>
      </c>
      <c r="H163" s="43"/>
      <c r="I163" s="16"/>
      <c r="J163" s="16"/>
      <c r="K163" s="16"/>
      <c r="L163" s="21"/>
      <c r="M163" s="21"/>
      <c r="N163" s="21"/>
      <c r="O163" s="21"/>
      <c r="P163" s="21"/>
      <c r="Q163" s="132"/>
      <c r="R163" s="105"/>
      <c r="S163" s="70"/>
      <c r="T163" s="16"/>
      <c r="U163" s="22"/>
      <c r="V163" s="18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1:42" ht="27" customHeight="1">
      <c r="A164" s="24">
        <v>111</v>
      </c>
      <c r="B164" s="103" t="s">
        <v>76</v>
      </c>
      <c r="C164" s="42">
        <v>0.65</v>
      </c>
      <c r="D164" s="13"/>
      <c r="E164" s="46">
        <v>1850.4375</v>
      </c>
      <c r="F164" s="46">
        <v>1739.42</v>
      </c>
      <c r="G164" s="46">
        <f t="shared" si="41"/>
        <v>111.01749999999993</v>
      </c>
      <c r="H164" s="43"/>
      <c r="I164" s="16"/>
      <c r="J164" s="16"/>
      <c r="K164" s="16"/>
      <c r="L164" s="21"/>
      <c r="M164" s="21"/>
      <c r="N164" s="21"/>
      <c r="O164" s="21"/>
      <c r="P164" s="21"/>
      <c r="Q164" s="132"/>
      <c r="R164" s="105"/>
      <c r="S164" s="70"/>
      <c r="T164" s="16"/>
      <c r="U164" s="22"/>
      <c r="V164" s="18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spans="1:42" ht="27" customHeight="1">
      <c r="A165" s="24">
        <v>112</v>
      </c>
      <c r="B165" s="103" t="s">
        <v>110</v>
      </c>
      <c r="C165" s="42">
        <v>0.85</v>
      </c>
      <c r="D165" s="13"/>
      <c r="E165" s="46">
        <v>4919.4498000000003</v>
      </c>
      <c r="F165" s="46">
        <v>4624.28</v>
      </c>
      <c r="G165" s="46">
        <f t="shared" si="41"/>
        <v>295.16980000000058</v>
      </c>
      <c r="H165" s="42"/>
      <c r="I165" s="16"/>
      <c r="J165" s="16"/>
      <c r="K165" s="16"/>
      <c r="L165" s="21"/>
      <c r="M165" s="21"/>
      <c r="N165" s="21"/>
      <c r="O165" s="21"/>
      <c r="P165" s="21"/>
      <c r="Q165" s="132"/>
      <c r="R165" s="105"/>
      <c r="S165" s="70"/>
      <c r="T165" s="16"/>
      <c r="U165" s="22"/>
      <c r="V165" s="18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1:42" ht="27" customHeight="1">
      <c r="A166" s="24">
        <v>113</v>
      </c>
      <c r="B166" s="103" t="s">
        <v>111</v>
      </c>
      <c r="C166" s="42">
        <v>0.11</v>
      </c>
      <c r="D166" s="13"/>
      <c r="E166" s="46">
        <v>1456.6504</v>
      </c>
      <c r="F166" s="46">
        <v>1369.23</v>
      </c>
      <c r="G166" s="46">
        <f t="shared" si="41"/>
        <v>87.420399999999972</v>
      </c>
      <c r="H166" s="42"/>
      <c r="I166" s="16"/>
      <c r="J166" s="16"/>
      <c r="K166" s="16"/>
      <c r="L166" s="21"/>
      <c r="M166" s="21"/>
      <c r="N166" s="21"/>
      <c r="O166" s="21"/>
      <c r="P166" s="21"/>
      <c r="Q166" s="132"/>
      <c r="R166" s="105"/>
      <c r="S166" s="70"/>
      <c r="T166" s="16"/>
      <c r="U166" s="22"/>
      <c r="V166" s="18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1:42" ht="27" customHeight="1">
      <c r="A167" s="24">
        <v>114</v>
      </c>
      <c r="B167" s="103" t="s">
        <v>112</v>
      </c>
      <c r="C167" s="42">
        <v>0.65</v>
      </c>
      <c r="D167" s="13"/>
      <c r="E167" s="46">
        <v>2997.0398</v>
      </c>
      <c r="F167" s="46">
        <v>2817.19</v>
      </c>
      <c r="G167" s="46">
        <f t="shared" si="41"/>
        <v>179.84979999999996</v>
      </c>
      <c r="H167" s="42"/>
      <c r="I167" s="16"/>
      <c r="J167" s="16"/>
      <c r="K167" s="16"/>
      <c r="L167" s="21"/>
      <c r="M167" s="21"/>
      <c r="N167" s="21"/>
      <c r="O167" s="21"/>
      <c r="P167" s="21"/>
      <c r="Q167" s="132"/>
      <c r="R167" s="105"/>
      <c r="S167" s="70"/>
      <c r="T167" s="16"/>
      <c r="U167" s="22"/>
      <c r="V167" s="18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1:42" ht="46.5" customHeight="1">
      <c r="A168" s="24">
        <v>115</v>
      </c>
      <c r="B168" s="103" t="s">
        <v>127</v>
      </c>
      <c r="C168" s="42">
        <v>0.50800000000000001</v>
      </c>
      <c r="D168" s="13"/>
      <c r="E168" s="46">
        <v>8226.3381000000008</v>
      </c>
      <c r="F168" s="46">
        <v>7732.7740000000003</v>
      </c>
      <c r="G168" s="46">
        <f t="shared" si="41"/>
        <v>493.56410000000051</v>
      </c>
      <c r="H168" s="42"/>
      <c r="I168" s="16"/>
      <c r="J168" s="16"/>
      <c r="K168" s="16"/>
      <c r="L168" s="21"/>
      <c r="M168" s="21"/>
      <c r="N168" s="21"/>
      <c r="O168" s="21"/>
      <c r="P168" s="21"/>
      <c r="Q168" s="132"/>
      <c r="R168" s="105"/>
      <c r="S168" s="70"/>
      <c r="T168" s="16"/>
      <c r="U168" s="22"/>
      <c r="V168" s="18"/>
      <c r="W168" s="2"/>
      <c r="X168" s="2"/>
      <c r="Y168" s="2"/>
      <c r="Z168" s="2" t="s">
        <v>25</v>
      </c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1:42" ht="30.75" customHeight="1">
      <c r="A169" s="24">
        <v>116</v>
      </c>
      <c r="B169" s="103" t="s">
        <v>126</v>
      </c>
      <c r="C169" s="42">
        <v>0.503</v>
      </c>
      <c r="D169" s="13"/>
      <c r="E169" s="46">
        <v>8800</v>
      </c>
      <c r="F169" s="46">
        <v>8272</v>
      </c>
      <c r="G169" s="46">
        <f t="shared" si="41"/>
        <v>528</v>
      </c>
      <c r="H169" s="42"/>
      <c r="I169" s="16"/>
      <c r="J169" s="16"/>
      <c r="K169" s="16"/>
      <c r="L169" s="21"/>
      <c r="M169" s="21"/>
      <c r="N169" s="21"/>
      <c r="O169" s="21"/>
      <c r="P169" s="21"/>
      <c r="Q169" s="132"/>
      <c r="R169" s="105"/>
      <c r="S169" s="70"/>
      <c r="T169" s="16"/>
      <c r="U169" s="22"/>
      <c r="V169" s="18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1:42" s="151" customFormat="1" ht="33" customHeight="1">
      <c r="A170" s="24"/>
      <c r="B170" s="99" t="s">
        <v>21</v>
      </c>
      <c r="C170" s="16">
        <f>C171+C173</f>
        <v>10.979999999999999</v>
      </c>
      <c r="D170" s="57"/>
      <c r="E170" s="16">
        <f>E171+E173</f>
        <v>497511.8</v>
      </c>
      <c r="F170" s="16">
        <f t="shared" ref="F170:G170" si="42">F171+F173</f>
        <v>462685.97399999999</v>
      </c>
      <c r="G170" s="16">
        <f t="shared" si="42"/>
        <v>34825.826000000001</v>
      </c>
      <c r="H170" s="16"/>
      <c r="I170" s="16">
        <f>I186</f>
        <v>325.3</v>
      </c>
      <c r="J170" s="16">
        <f>SUM(J173:J186)</f>
        <v>428993.5</v>
      </c>
      <c r="K170" s="16">
        <f t="shared" ref="K170:L170" si="43">SUM(K173:K186)</f>
        <v>398963.95500000002</v>
      </c>
      <c r="L170" s="16">
        <f t="shared" si="43"/>
        <v>30029.544999999984</v>
      </c>
      <c r="M170" s="16"/>
      <c r="N170" s="16"/>
      <c r="O170" s="16"/>
      <c r="P170" s="16"/>
      <c r="Q170" s="18"/>
      <c r="R170" s="17" t="e">
        <f>#REF!+#REF!+#REF!+#REF!</f>
        <v>#REF!</v>
      </c>
      <c r="S170" s="17"/>
      <c r="T170" s="14" t="e">
        <f>#REF!+#REF!+#REF!+#REF!</f>
        <v>#REF!</v>
      </c>
      <c r="U170" s="12" t="e">
        <f>#REF!+#REF!+#REF!+#REF!</f>
        <v>#REF!</v>
      </c>
      <c r="V170" s="20" t="e">
        <f>#REF!+#REF!+#REF!</f>
        <v>#REF!</v>
      </c>
    </row>
    <row r="171" spans="1:42" s="151" customFormat="1" ht="42.75" customHeight="1">
      <c r="A171" s="24"/>
      <c r="B171" s="103" t="s">
        <v>168</v>
      </c>
      <c r="C171" s="46">
        <f>C172</f>
        <v>0.1</v>
      </c>
      <c r="D171" s="57"/>
      <c r="E171" s="46">
        <f>E172</f>
        <v>27508.920399999999</v>
      </c>
      <c r="F171" s="46">
        <f>F172</f>
        <v>25583.295979999999</v>
      </c>
      <c r="G171" s="46">
        <f>G172</f>
        <v>1925.6244200000001</v>
      </c>
      <c r="H171" s="16"/>
      <c r="I171" s="16"/>
      <c r="J171" s="16"/>
      <c r="K171" s="16"/>
      <c r="L171" s="16"/>
      <c r="M171" s="16"/>
      <c r="N171" s="16"/>
      <c r="O171" s="16"/>
      <c r="P171" s="16"/>
      <c r="Q171" s="18"/>
      <c r="R171" s="17"/>
      <c r="S171" s="17"/>
      <c r="T171" s="14"/>
      <c r="U171" s="12"/>
      <c r="V171" s="20"/>
    </row>
    <row r="172" spans="1:42" s="151" customFormat="1" ht="44.25" customHeight="1">
      <c r="A172" s="24">
        <v>117</v>
      </c>
      <c r="B172" s="103" t="s">
        <v>170</v>
      </c>
      <c r="C172" s="42">
        <v>0.1</v>
      </c>
      <c r="D172" s="57"/>
      <c r="E172" s="46">
        <v>27508.920399999999</v>
      </c>
      <c r="F172" s="46">
        <v>25583.295979999999</v>
      </c>
      <c r="G172" s="46">
        <f>E172-F172</f>
        <v>1925.6244200000001</v>
      </c>
      <c r="H172" s="16"/>
      <c r="I172" s="16"/>
      <c r="J172" s="16"/>
      <c r="K172" s="16"/>
      <c r="L172" s="16"/>
      <c r="M172" s="16"/>
      <c r="N172" s="16"/>
      <c r="O172" s="16"/>
      <c r="P172" s="16"/>
      <c r="Q172" s="18"/>
      <c r="R172" s="17"/>
      <c r="S172" s="17"/>
      <c r="T172" s="14"/>
      <c r="U172" s="12"/>
      <c r="V172" s="20"/>
    </row>
    <row r="173" spans="1:42" ht="44.25" customHeight="1">
      <c r="A173" s="24">
        <v>118</v>
      </c>
      <c r="B173" s="103" t="s">
        <v>169</v>
      </c>
      <c r="C173" s="46">
        <f>0.1+10.78</f>
        <v>10.879999999999999</v>
      </c>
      <c r="D173" s="57"/>
      <c r="E173" s="46">
        <f>60000+437511.8-E172</f>
        <v>470002.87959999999</v>
      </c>
      <c r="F173" s="46">
        <f>462685.974-F172</f>
        <v>437102.67801999999</v>
      </c>
      <c r="G173" s="46">
        <f>34825.826-G172</f>
        <v>32900.201580000001</v>
      </c>
      <c r="H173" s="16"/>
      <c r="I173" s="16"/>
      <c r="J173" s="16"/>
      <c r="K173" s="16"/>
      <c r="L173" s="16"/>
      <c r="M173" s="16"/>
      <c r="N173" s="16"/>
      <c r="O173" s="16"/>
      <c r="P173" s="16"/>
      <c r="Q173" s="18"/>
      <c r="R173" s="17"/>
      <c r="S173" s="17"/>
      <c r="T173" s="14"/>
      <c r="U173" s="12"/>
      <c r="V173" s="20"/>
      <c r="W173" s="66">
        <f>F173-F174</f>
        <v>406885.97399999999</v>
      </c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spans="1:42" ht="37.5" customHeight="1">
      <c r="A174" s="24">
        <v>119</v>
      </c>
      <c r="B174" s="103" t="s">
        <v>171</v>
      </c>
      <c r="C174" s="42">
        <v>0.1</v>
      </c>
      <c r="D174" s="57"/>
      <c r="E174" s="46">
        <v>32491.079600000001</v>
      </c>
      <c r="F174" s="46">
        <v>30216.704020000001</v>
      </c>
      <c r="G174" s="46">
        <f>E174-F174</f>
        <v>2274.3755799999999</v>
      </c>
      <c r="H174" s="16"/>
      <c r="I174" s="16"/>
      <c r="J174" s="16"/>
      <c r="K174" s="16"/>
      <c r="L174" s="16"/>
      <c r="M174" s="16"/>
      <c r="N174" s="16"/>
      <c r="O174" s="16"/>
      <c r="P174" s="16"/>
      <c r="Q174" s="18"/>
      <c r="R174" s="17"/>
      <c r="S174" s="17"/>
      <c r="T174" s="14"/>
      <c r="U174" s="12"/>
      <c r="V174" s="20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1:42" ht="56.25" hidden="1">
      <c r="A175" s="24"/>
      <c r="B175" s="162" t="s">
        <v>138</v>
      </c>
      <c r="C175" s="163">
        <v>0.9</v>
      </c>
      <c r="D175" s="164"/>
      <c r="E175" s="165">
        <v>23377.7</v>
      </c>
      <c r="F175" s="165">
        <f t="shared" ref="F175:F185" si="44">E175*0.93</f>
        <v>21741.261000000002</v>
      </c>
      <c r="G175" s="165">
        <f t="shared" ref="G175:G185" si="45">E175-F175</f>
        <v>1636.4389999999985</v>
      </c>
      <c r="H175" s="16"/>
      <c r="I175" s="16"/>
      <c r="J175" s="16"/>
      <c r="K175" s="16"/>
      <c r="L175" s="16"/>
      <c r="M175" s="16"/>
      <c r="N175" s="16"/>
      <c r="O175" s="16"/>
      <c r="P175" s="16"/>
      <c r="Q175" s="18"/>
      <c r="R175" s="17"/>
      <c r="S175" s="17"/>
      <c r="T175" s="14"/>
      <c r="U175" s="12"/>
      <c r="V175" s="20"/>
      <c r="W175" s="2"/>
      <c r="X175" s="2"/>
      <c r="Y175" s="2"/>
      <c r="Z175" s="2"/>
      <c r="AA175" s="2" t="s">
        <v>17</v>
      </c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1:42" ht="37.5" hidden="1">
      <c r="A176" s="148"/>
      <c r="B176" s="166" t="s">
        <v>139</v>
      </c>
      <c r="C176" s="167">
        <v>2.2999999999999998</v>
      </c>
      <c r="D176" s="168"/>
      <c r="E176" s="169">
        <v>98138.3</v>
      </c>
      <c r="F176" s="165">
        <f t="shared" si="44"/>
        <v>91268.619000000006</v>
      </c>
      <c r="G176" s="165">
        <f t="shared" si="45"/>
        <v>6869.6809999999969</v>
      </c>
      <c r="H176" s="149"/>
      <c r="I176" s="149"/>
      <c r="J176" s="149"/>
      <c r="K176" s="149"/>
      <c r="L176" s="149"/>
      <c r="M176" s="149"/>
      <c r="N176" s="149"/>
      <c r="O176" s="149"/>
      <c r="P176" s="149"/>
      <c r="Q176" s="150"/>
      <c r="R176" s="17"/>
      <c r="S176" s="17"/>
      <c r="T176" s="14"/>
      <c r="U176" s="12"/>
      <c r="V176" s="20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1:42" ht="37.5" hidden="1">
      <c r="A177" s="148"/>
      <c r="B177" s="166" t="s">
        <v>140</v>
      </c>
      <c r="C177" s="167">
        <v>0.3</v>
      </c>
      <c r="D177" s="168"/>
      <c r="E177" s="169">
        <v>50560</v>
      </c>
      <c r="F177" s="165">
        <f t="shared" si="44"/>
        <v>47020.800000000003</v>
      </c>
      <c r="G177" s="165">
        <f t="shared" si="45"/>
        <v>3539.1999999999971</v>
      </c>
      <c r="H177" s="149"/>
      <c r="I177" s="149"/>
      <c r="J177" s="149"/>
      <c r="K177" s="149"/>
      <c r="L177" s="149"/>
      <c r="M177" s="149"/>
      <c r="N177" s="149"/>
      <c r="O177" s="149"/>
      <c r="P177" s="149"/>
      <c r="Q177" s="150"/>
      <c r="R177" s="17"/>
      <c r="S177" s="17"/>
      <c r="T177" s="14"/>
      <c r="U177" s="12"/>
      <c r="V177" s="20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1:42" ht="37.5" hidden="1">
      <c r="A178" s="148"/>
      <c r="B178" s="166" t="s">
        <v>141</v>
      </c>
      <c r="C178" s="167">
        <v>0.23</v>
      </c>
      <c r="D178" s="168"/>
      <c r="E178" s="169">
        <v>20873</v>
      </c>
      <c r="F178" s="165">
        <f t="shared" si="44"/>
        <v>19411.89</v>
      </c>
      <c r="G178" s="165">
        <f t="shared" si="45"/>
        <v>1461.1100000000006</v>
      </c>
      <c r="H178" s="149"/>
      <c r="I178" s="149"/>
      <c r="J178" s="149"/>
      <c r="K178" s="149"/>
      <c r="L178" s="149"/>
      <c r="M178" s="149"/>
      <c r="N178" s="149"/>
      <c r="O178" s="149"/>
      <c r="P178" s="149"/>
      <c r="Q178" s="150"/>
      <c r="R178" s="17"/>
      <c r="S178" s="17"/>
      <c r="T178" s="14"/>
      <c r="U178" s="12"/>
      <c r="V178" s="20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1:42" ht="37.5" hidden="1">
      <c r="A179" s="148"/>
      <c r="B179" s="166" t="s">
        <v>142</v>
      </c>
      <c r="C179" s="167">
        <v>0.33</v>
      </c>
      <c r="D179" s="168"/>
      <c r="E179" s="169">
        <v>22015</v>
      </c>
      <c r="F179" s="165">
        <f t="shared" si="44"/>
        <v>20473.95</v>
      </c>
      <c r="G179" s="165">
        <f t="shared" si="45"/>
        <v>1541.0499999999993</v>
      </c>
      <c r="H179" s="149"/>
      <c r="I179" s="149"/>
      <c r="J179" s="149"/>
      <c r="K179" s="149"/>
      <c r="L179" s="149"/>
      <c r="M179" s="149"/>
      <c r="N179" s="149"/>
      <c r="O179" s="149"/>
      <c r="P179" s="149"/>
      <c r="Q179" s="150"/>
      <c r="R179" s="17"/>
      <c r="S179" s="17"/>
      <c r="T179" s="14"/>
      <c r="U179" s="12"/>
      <c r="V179" s="20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spans="1:42" ht="25.5" hidden="1" customHeight="1">
      <c r="A180" s="148"/>
      <c r="B180" s="166" t="s">
        <v>143</v>
      </c>
      <c r="C180" s="167">
        <v>1.5</v>
      </c>
      <c r="D180" s="168"/>
      <c r="E180" s="169">
        <v>82408.399999999994</v>
      </c>
      <c r="F180" s="165">
        <f t="shared" si="44"/>
        <v>76639.812000000005</v>
      </c>
      <c r="G180" s="165">
        <f t="shared" si="45"/>
        <v>5768.5879999999888</v>
      </c>
      <c r="H180" s="149"/>
      <c r="I180" s="149"/>
      <c r="J180" s="149"/>
      <c r="K180" s="149"/>
      <c r="L180" s="149"/>
      <c r="M180" s="149"/>
      <c r="N180" s="149"/>
      <c r="O180" s="149"/>
      <c r="P180" s="149"/>
      <c r="Q180" s="150"/>
      <c r="R180" s="17"/>
      <c r="S180" s="17"/>
      <c r="T180" s="14"/>
      <c r="U180" s="12"/>
      <c r="V180" s="20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spans="1:42" ht="37.5" hidden="1">
      <c r="A181" s="148"/>
      <c r="B181" s="166" t="s">
        <v>144</v>
      </c>
      <c r="C181" s="167">
        <v>0.8</v>
      </c>
      <c r="D181" s="168"/>
      <c r="E181" s="169">
        <v>48188.5</v>
      </c>
      <c r="F181" s="165">
        <f t="shared" si="44"/>
        <v>44815.305</v>
      </c>
      <c r="G181" s="165">
        <f t="shared" si="45"/>
        <v>3373.1949999999997</v>
      </c>
      <c r="H181" s="149"/>
      <c r="I181" s="149"/>
      <c r="J181" s="149"/>
      <c r="K181" s="149"/>
      <c r="L181" s="149"/>
      <c r="M181" s="149"/>
      <c r="N181" s="149"/>
      <c r="O181" s="149"/>
      <c r="P181" s="149"/>
      <c r="Q181" s="150"/>
      <c r="R181" s="17"/>
      <c r="S181" s="17"/>
      <c r="T181" s="14"/>
      <c r="U181" s="12"/>
      <c r="V181" s="20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spans="1:42" ht="37.5" hidden="1">
      <c r="A182" s="148"/>
      <c r="B182" s="166" t="s">
        <v>145</v>
      </c>
      <c r="C182" s="167">
        <v>0.4</v>
      </c>
      <c r="D182" s="168"/>
      <c r="E182" s="169">
        <v>12686.6</v>
      </c>
      <c r="F182" s="165">
        <f t="shared" si="44"/>
        <v>11798.538</v>
      </c>
      <c r="G182" s="165">
        <f t="shared" si="45"/>
        <v>888.0619999999999</v>
      </c>
      <c r="H182" s="149"/>
      <c r="I182" s="149"/>
      <c r="J182" s="149"/>
      <c r="K182" s="149"/>
      <c r="L182" s="149"/>
      <c r="M182" s="149"/>
      <c r="N182" s="149"/>
      <c r="O182" s="149"/>
      <c r="P182" s="149"/>
      <c r="Q182" s="150"/>
      <c r="R182" s="17"/>
      <c r="S182" s="17"/>
      <c r="T182" s="14"/>
      <c r="U182" s="12"/>
      <c r="V182" s="20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spans="1:42" ht="19.5" hidden="1">
      <c r="A183" s="148"/>
      <c r="B183" s="166" t="s">
        <v>146</v>
      </c>
      <c r="C183" s="167">
        <v>0.84</v>
      </c>
      <c r="D183" s="168"/>
      <c r="E183" s="169">
        <v>50597.9</v>
      </c>
      <c r="F183" s="165">
        <f t="shared" si="44"/>
        <v>47056.047000000006</v>
      </c>
      <c r="G183" s="165">
        <f t="shared" si="45"/>
        <v>3541.8529999999955</v>
      </c>
      <c r="H183" s="149"/>
      <c r="I183" s="149"/>
      <c r="J183" s="149"/>
      <c r="K183" s="149"/>
      <c r="L183" s="149"/>
      <c r="M183" s="149"/>
      <c r="N183" s="149"/>
      <c r="O183" s="149"/>
      <c r="P183" s="149"/>
      <c r="Q183" s="150"/>
      <c r="R183" s="17"/>
      <c r="S183" s="17"/>
      <c r="T183" s="14"/>
      <c r="U183" s="12"/>
      <c r="V183" s="20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spans="1:42" ht="19.5" hidden="1">
      <c r="A184" s="148"/>
      <c r="B184" s="166" t="s">
        <v>147</v>
      </c>
      <c r="C184" s="167">
        <v>0.57999999999999996</v>
      </c>
      <c r="D184" s="168"/>
      <c r="E184" s="169">
        <v>24116.400000000001</v>
      </c>
      <c r="F184" s="165">
        <f t="shared" si="44"/>
        <v>22428.252000000004</v>
      </c>
      <c r="G184" s="165">
        <f t="shared" si="45"/>
        <v>1688.1479999999974</v>
      </c>
      <c r="H184" s="149"/>
      <c r="I184" s="149"/>
      <c r="J184" s="149"/>
      <c r="K184" s="149"/>
      <c r="L184" s="149"/>
      <c r="M184" s="149"/>
      <c r="N184" s="149"/>
      <c r="O184" s="149"/>
      <c r="P184" s="149"/>
      <c r="Q184" s="150"/>
      <c r="R184" s="17"/>
      <c r="S184" s="17"/>
      <c r="T184" s="14"/>
      <c r="U184" s="12"/>
      <c r="V184" s="20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spans="1:42" ht="37.5" hidden="1">
      <c r="A185" s="154"/>
      <c r="B185" s="170" t="s">
        <v>148</v>
      </c>
      <c r="C185" s="163">
        <v>0.2</v>
      </c>
      <c r="D185" s="164"/>
      <c r="E185" s="165">
        <v>4550</v>
      </c>
      <c r="F185" s="165">
        <f t="shared" si="44"/>
        <v>4231.5</v>
      </c>
      <c r="G185" s="165">
        <f t="shared" si="45"/>
        <v>318.5</v>
      </c>
      <c r="H185" s="16"/>
      <c r="I185" s="16"/>
      <c r="J185" s="16"/>
      <c r="K185" s="16"/>
      <c r="L185" s="16"/>
      <c r="M185" s="16"/>
      <c r="N185" s="16"/>
      <c r="O185" s="16"/>
      <c r="P185" s="16"/>
      <c r="Q185" s="18"/>
      <c r="R185" s="17"/>
      <c r="S185" s="17"/>
      <c r="T185" s="14"/>
      <c r="U185" s="12"/>
      <c r="V185" s="20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spans="1:42" ht="63" customHeight="1" thickBot="1">
      <c r="A186" s="155">
        <v>120</v>
      </c>
      <c r="B186" s="140" t="s">
        <v>116</v>
      </c>
      <c r="C186" s="141"/>
      <c r="D186" s="142"/>
      <c r="E186" s="143"/>
      <c r="F186" s="143"/>
      <c r="G186" s="143"/>
      <c r="H186" s="141"/>
      <c r="I186" s="143">
        <f>111.3+214</f>
        <v>325.3</v>
      </c>
      <c r="J186" s="143">
        <v>428993.5</v>
      </c>
      <c r="K186" s="143">
        <v>398963.95500000002</v>
      </c>
      <c r="L186" s="143">
        <v>30029.544999999984</v>
      </c>
      <c r="M186" s="144"/>
      <c r="N186" s="144"/>
      <c r="O186" s="144"/>
      <c r="P186" s="144"/>
      <c r="Q186" s="156"/>
      <c r="R186" s="17"/>
      <c r="S186" s="17"/>
      <c r="T186" s="14"/>
      <c r="U186" s="12"/>
      <c r="V186" s="20"/>
      <c r="W186" s="66">
        <v>730170.6</v>
      </c>
      <c r="X186" s="66">
        <f>W186-J186</f>
        <v>301177.09999999998</v>
      </c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spans="1:42" ht="21.75" customHeight="1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spans="1:42" ht="33.75" customHeight="1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spans="1:42" ht="36" customHeight="1">
      <c r="B189" s="178" t="s">
        <v>117</v>
      </c>
      <c r="C189" s="178"/>
      <c r="D189" s="178"/>
      <c r="E189" s="178"/>
      <c r="F189" s="66"/>
      <c r="G189" s="2"/>
      <c r="H189" s="2"/>
      <c r="I189" s="2"/>
      <c r="J189" s="2"/>
      <c r="K189" s="2"/>
      <c r="L189" s="2"/>
      <c r="M189" s="2"/>
      <c r="N189" s="2"/>
      <c r="O189" s="158" t="s">
        <v>118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spans="1:42" ht="15" customHeight="1">
      <c r="C190" s="2"/>
      <c r="D190" s="2"/>
      <c r="E190" s="171"/>
      <c r="F190" s="171"/>
      <c r="G190" s="171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spans="1:42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spans="1:42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spans="3:42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spans="3:42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spans="3:42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spans="3:42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spans="3:42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spans="3:42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</sheetData>
  <mergeCells count="25">
    <mergeCell ref="B189:E189"/>
    <mergeCell ref="M6:N6"/>
    <mergeCell ref="O6:O7"/>
    <mergeCell ref="P6:Q6"/>
    <mergeCell ref="H6:I6"/>
    <mergeCell ref="J6:J7"/>
    <mergeCell ref="K6:L6"/>
    <mergeCell ref="A9:Q9"/>
    <mergeCell ref="B10:Q10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</mergeCells>
  <printOptions horizontalCentered="1"/>
  <pageMargins left="0.59055118110236227" right="0.39370078740157483" top="0.59055118110236227" bottom="0.59055118110236227" header="0.19685039370078741" footer="0.11811023622047245"/>
  <pageSetup paperSize="9" scale="50" firstPageNumber="67" fitToHeight="7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15.10.24 уточ Корочанский</vt:lpstr>
      <vt:lpstr>'15.10.24 уточ Корочанский'!Заголовки_для_печати</vt:lpstr>
      <vt:lpstr>'15.10.24 уточ Корочанский'!Область_печати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2024-10-18T06:33:05Z</cp:lastPrinted>
  <dcterms:created xsi:type="dcterms:W3CDTF">2020-10-29T15:31:04Z</dcterms:created>
  <dcterms:modified xsi:type="dcterms:W3CDTF">2024-10-18T12:09:08Z</dcterms:modified>
</cp:coreProperties>
</file>