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00" yWindow="30" windowWidth="14835" windowHeight="13155" tabRatio="973" activeTab="4"/>
  </bookViews>
  <sheets>
    <sheet name="2. Показатели КПМ" sheetId="28" r:id="rId1"/>
    <sheet name="3.Показатели КПМ по месяцам " sheetId="29" r:id="rId2"/>
    <sheet name="4. Показатели КПМ по МО " sheetId="24" r:id="rId3"/>
    <sheet name="5. Мероприятия КПМ " sheetId="25" r:id="rId4"/>
    <sheet name="6. Финансовое обеспечение ." sheetId="27" r:id="rId5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 '!$4:$6</definedName>
    <definedName name="_xlnm.Print_Titles" localSheetId="3">'5. Мероприятия КПМ '!$4:$6</definedName>
    <definedName name="_xlnm.Print_Titles" localSheetId="4">'6. Финансовое обеспечение .'!$42:$44</definedName>
    <definedName name="_xlnm.Print_Area" localSheetId="0">'2. Показатели КПМ'!$A$2:$Q$18</definedName>
    <definedName name="_xlnm.Print_Area" localSheetId="1">'3.Показатели КПМ по месяцам '!$A$2:$P$18</definedName>
    <definedName name="_xlnm.Print_Area" localSheetId="2">'4. Показатели КПМ по МО '!$A$2:$K$33</definedName>
    <definedName name="_xlnm.Print_Area" localSheetId="3">'5. Мероприятия КПМ '!$A$2:$N$25</definedName>
    <definedName name="_xlnm.Print_Area" localSheetId="4">'6. Финансовое обеспечение .'!$A$2:$O$141</definedName>
  </definedNames>
  <calcPr calcId="145621"/>
</workbook>
</file>

<file path=xl/calcChain.xml><?xml version="1.0" encoding="utf-8"?>
<calcChain xmlns="http://schemas.openxmlformats.org/spreadsheetml/2006/main">
  <c r="O9" i="29"/>
  <c r="P9" s="1"/>
  <c r="J11"/>
  <c r="J12"/>
  <c r="I12"/>
  <c r="K12" l="1"/>
  <c r="L12" s="1"/>
  <c r="K11"/>
  <c r="K112" i="27"/>
  <c r="M12" i="29" l="1"/>
  <c r="L11"/>
  <c r="M11" s="1"/>
  <c r="H55" i="27"/>
  <c r="I76"/>
  <c r="I55"/>
  <c r="H11" i="28"/>
  <c r="O18" i="25"/>
  <c r="O12"/>
  <c r="A1" i="29" l="1"/>
  <c r="N9" i="28"/>
  <c r="M9"/>
  <c r="L9"/>
  <c r="K9"/>
  <c r="J9"/>
  <c r="I9"/>
  <c r="H9"/>
  <c r="A1"/>
  <c r="I79" i="27"/>
  <c r="O133" l="1"/>
  <c r="O132"/>
  <c r="O131"/>
  <c r="N130"/>
  <c r="N46" s="1"/>
  <c r="M130"/>
  <c r="L130"/>
  <c r="L46" s="1"/>
  <c r="K130"/>
  <c r="J130"/>
  <c r="J46" s="1"/>
  <c r="N121"/>
  <c r="M121"/>
  <c r="L121"/>
  <c r="K121"/>
  <c r="J121"/>
  <c r="H121"/>
  <c r="O112"/>
  <c r="O103"/>
  <c r="N100"/>
  <c r="M100"/>
  <c r="L100"/>
  <c r="K100"/>
  <c r="J100"/>
  <c r="I100"/>
  <c r="O100" s="1"/>
  <c r="O97"/>
  <c r="O94"/>
  <c r="K85"/>
  <c r="O85" s="1"/>
  <c r="O82"/>
  <c r="P76"/>
  <c r="N67"/>
  <c r="M67"/>
  <c r="L67"/>
  <c r="K67"/>
  <c r="J67"/>
  <c r="O58"/>
  <c r="N57"/>
  <c r="M57"/>
  <c r="L57"/>
  <c r="K57"/>
  <c r="J57"/>
  <c r="O57"/>
  <c r="O56"/>
  <c r="Q55"/>
  <c r="J55"/>
  <c r="O55"/>
  <c r="N52"/>
  <c r="M52"/>
  <c r="L52"/>
  <c r="K52"/>
  <c r="J52"/>
  <c r="I52"/>
  <c r="H52"/>
  <c r="I49"/>
  <c r="M46"/>
  <c r="K46"/>
  <c r="I46"/>
  <c r="X46" s="1"/>
  <c r="O39"/>
  <c r="H39"/>
  <c r="N38"/>
  <c r="M38"/>
  <c r="L38"/>
  <c r="K38"/>
  <c r="J38"/>
  <c r="I38"/>
  <c r="H38"/>
  <c r="O37"/>
  <c r="I36"/>
  <c r="O36" s="1"/>
  <c r="H35"/>
  <c r="O35" s="1"/>
  <c r="O34" s="1"/>
  <c r="N34"/>
  <c r="M34"/>
  <c r="L34"/>
  <c r="K34"/>
  <c r="J34"/>
  <c r="O33"/>
  <c r="O32"/>
  <c r="O31" s="1"/>
  <c r="N31"/>
  <c r="M31"/>
  <c r="L31"/>
  <c r="I31"/>
  <c r="H31"/>
  <c r="H29"/>
  <c r="H30" s="1"/>
  <c r="O28"/>
  <c r="I27"/>
  <c r="O26"/>
  <c r="O25"/>
  <c r="O24" s="1"/>
  <c r="N24"/>
  <c r="M24"/>
  <c r="L24"/>
  <c r="K24"/>
  <c r="J24"/>
  <c r="I24"/>
  <c r="H24"/>
  <c r="H22"/>
  <c r="O22" s="1"/>
  <c r="O21"/>
  <c r="N20"/>
  <c r="M20"/>
  <c r="L20"/>
  <c r="K20"/>
  <c r="J20"/>
  <c r="I20"/>
  <c r="J19"/>
  <c r="J17" s="1"/>
  <c r="I19"/>
  <c r="O18"/>
  <c r="N17"/>
  <c r="M17"/>
  <c r="L17"/>
  <c r="K17"/>
  <c r="I17"/>
  <c r="H17"/>
  <c r="N16"/>
  <c r="N14" s="1"/>
  <c r="N12" s="1"/>
  <c r="M16"/>
  <c r="L16"/>
  <c r="L14" s="1"/>
  <c r="L12" s="1"/>
  <c r="K16"/>
  <c r="J16"/>
  <c r="J14" s="1"/>
  <c r="J12" s="1"/>
  <c r="I16"/>
  <c r="H16"/>
  <c r="O16" s="1"/>
  <c r="O15"/>
  <c r="M14"/>
  <c r="M12" s="1"/>
  <c r="K14"/>
  <c r="K12" s="1"/>
  <c r="I14"/>
  <c r="I12" s="1"/>
  <c r="O13"/>
  <c r="N11"/>
  <c r="M11"/>
  <c r="L11"/>
  <c r="K11"/>
  <c r="J11"/>
  <c r="I11"/>
  <c r="N9"/>
  <c r="M9"/>
  <c r="L9"/>
  <c r="K9"/>
  <c r="J9"/>
  <c r="I9"/>
  <c r="H9"/>
  <c r="O9" s="1"/>
  <c r="A1"/>
  <c r="G10" i="25"/>
  <c r="O10" s="1"/>
  <c r="A1"/>
  <c r="E26" i="24"/>
  <c r="E8" s="1"/>
  <c r="E23"/>
  <c r="F12"/>
  <c r="E12"/>
  <c r="F8"/>
  <c r="C8"/>
  <c r="A1"/>
  <c r="O121" i="27" l="1"/>
  <c r="H46"/>
  <c r="Q47" s="1"/>
  <c r="O19"/>
  <c r="O29"/>
  <c r="O27" s="1"/>
  <c r="O38"/>
  <c r="O67"/>
  <c r="O130"/>
  <c r="O52"/>
  <c r="I8"/>
  <c r="I10"/>
  <c r="M8"/>
  <c r="M10"/>
  <c r="J10"/>
  <c r="J8"/>
  <c r="L10"/>
  <c r="L8"/>
  <c r="N10"/>
  <c r="N8"/>
  <c r="O30"/>
  <c r="H27"/>
  <c r="H23"/>
  <c r="O17"/>
  <c r="K8"/>
  <c r="K10"/>
  <c r="H14"/>
  <c r="H34"/>
  <c r="O46"/>
  <c r="U46" s="1"/>
  <c r="T46"/>
  <c r="T48" s="1"/>
  <c r="O76"/>
  <c r="P46" s="1"/>
  <c r="H79"/>
  <c r="S46"/>
  <c r="P47" l="1"/>
  <c r="O79"/>
  <c r="H49"/>
  <c r="O49" s="1"/>
  <c r="O23"/>
  <c r="O20" s="1"/>
  <c r="H20"/>
  <c r="H11"/>
  <c r="O11" s="1"/>
  <c r="Q46"/>
  <c r="P45"/>
  <c r="O14"/>
  <c r="H12"/>
  <c r="S8"/>
  <c r="H10" l="1"/>
  <c r="O10" s="1"/>
  <c r="O12"/>
  <c r="H8"/>
  <c r="O8" s="1"/>
</calcChain>
</file>

<file path=xl/sharedStrings.xml><?xml version="1.0" encoding="utf-8"?>
<sst xmlns="http://schemas.openxmlformats.org/spreadsheetml/2006/main" count="654" uniqueCount="211">
  <si>
    <t>№ п/п</t>
  </si>
  <si>
    <t>1.</t>
  </si>
  <si>
    <t>Источник финансового обеспечения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</si>
  <si>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</si>
  <si>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</si>
  <si>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</si>
  <si>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</si>
  <si>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</si>
  <si>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</si>
  <si>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</si>
  <si>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</si>
  <si>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</si>
  <si>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</si>
  <si>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</si>
  <si>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Объем финансового обеспечения по годам реализации, тыс. рублей</t>
  </si>
  <si>
    <t xml:space="preserve"> год</t>
  </si>
  <si>
    <t>Значение показателей по годам</t>
  </si>
  <si>
    <t>2.1.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</si>
  <si>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</si>
  <si>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</si>
  <si>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</si>
  <si>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4.</t>
  </si>
  <si>
    <t>3.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</si>
  <si>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</si>
  <si>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</si>
  <si>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</si>
  <si>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</si>
  <si>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</si>
  <si>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км</t>
  </si>
  <si>
    <t>3.1.</t>
  </si>
  <si>
    <t>штук</t>
  </si>
  <si>
    <t>4.1.</t>
  </si>
  <si>
    <t>Количество изготовленной проектно-сметной документации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</si>
  <si>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</si>
  <si>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</si>
  <si>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</si>
  <si>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</si>
  <si>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</si>
  <si>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</si>
  <si>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</si>
  <si>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На конец 2024 года</t>
  </si>
  <si>
    <t xml:space="preserve">Приобретение товаров, работ, услуг </t>
  </si>
  <si>
    <t xml:space="preserve">Оремонтировано мостов регионального значения </t>
  </si>
  <si>
    <t xml:space="preserve">Оремонтировано мостов местного значения </t>
  </si>
  <si>
    <t xml:space="preserve">  </t>
  </si>
  <si>
    <t>3.2.</t>
  </si>
  <si>
    <t>Изготовлена проектно- сметная документация</t>
  </si>
  <si>
    <t>Отремонтировано автодорог регионального значения</t>
  </si>
  <si>
    <t>Отремонтировано автодорог местного значения</t>
  </si>
  <si>
    <t>Региональный бюджет (всего), из них:</t>
  </si>
  <si>
    <t>1.3.</t>
  </si>
  <si>
    <t>1.4.</t>
  </si>
  <si>
    <t>Внебюджетные источники</t>
  </si>
  <si>
    <t>Консолидированные бюджеты муниципальных образований</t>
  </si>
  <si>
    <t xml:space="preserve">город Белгород </t>
  </si>
  <si>
    <t xml:space="preserve"> -</t>
  </si>
  <si>
    <t xml:space="preserve">Белгородский район  </t>
  </si>
  <si>
    <t xml:space="preserve">Волоконовский район 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</si>
  <si>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</si>
  <si>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</si>
  <si>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</si>
  <si>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</si>
  <si>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</si>
  <si>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</si>
  <si>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</si>
  <si>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</si>
  <si>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</si>
  <si>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</si>
  <si>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</si>
  <si>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</si>
  <si>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</si>
  <si>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</si>
  <si>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</si>
  <si>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</si>
  <si>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</si>
  <si>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</si>
  <si>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 xml:space="preserve">Борисовский район </t>
  </si>
  <si>
    <t xml:space="preserve">Вейделевский район </t>
  </si>
  <si>
    <t xml:space="preserve">Губкинский городской округ </t>
  </si>
  <si>
    <t xml:space="preserve">Ивнянский район </t>
  </si>
  <si>
    <t xml:space="preserve">Корочанский район </t>
  </si>
  <si>
    <t>Красненский район</t>
  </si>
  <si>
    <t>Красногвардейский район</t>
  </si>
  <si>
    <t xml:space="preserve">Краснояружский район                              </t>
  </si>
  <si>
    <t xml:space="preserve">Прохоровский район                                 </t>
  </si>
  <si>
    <t xml:space="preserve">Ракитянский район                                    </t>
  </si>
  <si>
    <t>Ровеньский район</t>
  </si>
  <si>
    <t xml:space="preserve">Старооскольский городской округ </t>
  </si>
  <si>
    <t xml:space="preserve">Чернянский район                                   </t>
  </si>
  <si>
    <t>ВСЕГО</t>
  </si>
  <si>
    <t xml:space="preserve"> - </t>
  </si>
  <si>
    <t>Протяженность автодорог регионального значения, подлежащих капитальному ремонту</t>
  </si>
  <si>
    <t>Протяженность автодорог, обустроенных наружным освещением, км</t>
  </si>
  <si>
    <t>Протяженность искусственных сооружений, подлежащих капитальному ремонту</t>
  </si>
  <si>
    <t>пог. м</t>
  </si>
  <si>
    <t>5.</t>
  </si>
  <si>
    <t>6.</t>
  </si>
  <si>
    <t>5.1.</t>
  </si>
  <si>
    <t>пог.м</t>
  </si>
  <si>
    <t>Капитально отремонтировано автодорог регионального значения</t>
  </si>
  <si>
    <t>Капитально отремонтировано искусственных сооружений</t>
  </si>
  <si>
    <t>5.2.</t>
  </si>
  <si>
    <t>6.1.</t>
  </si>
  <si>
    <t>7.</t>
  </si>
  <si>
    <t>7.1.</t>
  </si>
  <si>
    <t xml:space="preserve"> КПМ</t>
  </si>
  <si>
    <t xml:space="preserve">Протяженность автодорог, подлежащих содержанию </t>
  </si>
  <si>
    <t>ОГКУ "Управление дорожного хозяйства и транспорта Белгородской области"</t>
  </si>
  <si>
    <t>Протяженность автодорог регионального значения, подлежащих ремонту</t>
  </si>
  <si>
    <t>Протяженность автодорог местного значения, подлежащих ремонту</t>
  </si>
  <si>
    <t>Количество мостов регионального значения, подлежащих ремонту</t>
  </si>
  <si>
    <t>Количество мостов местного значения, подлежащих ремонту</t>
  </si>
  <si>
    <t>Министерство автомобильных дорог и транспорта Белгородской области</t>
  </si>
  <si>
    <t>Прогрессирую-щий</t>
  </si>
  <si>
    <t>ОГКУ "УпрДорТранс"</t>
  </si>
  <si>
    <t>*</t>
  </si>
  <si>
    <t>8.</t>
  </si>
  <si>
    <t>8.1.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</si>
  <si>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</si>
  <si>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</si>
  <si>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</si>
  <si>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</si>
  <si>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</si>
  <si>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</si>
  <si>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Всего по комплексу процессных мероприятий «Обеспечение сохранности существующей сети автомобильных дорог»</t>
  </si>
  <si>
    <t>Областной бюджет (ИТС)</t>
  </si>
  <si>
    <t>10 4 01 72140</t>
  </si>
  <si>
    <t>10 4 01 20580</t>
  </si>
  <si>
    <t xml:space="preserve">Капитально отремонтировано автодорог регионального значения </t>
  </si>
  <si>
    <t>9.</t>
  </si>
  <si>
    <t>9.1.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</si>
  <si>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</si>
  <si>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</si>
  <si>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</si>
  <si>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</si>
  <si>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 xml:space="preserve">Наименование муниципального образования 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</si>
  <si>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</si>
  <si>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</si>
  <si>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</si>
  <si>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</si>
  <si>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</si>
  <si>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</si>
  <si>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</si>
  <si>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Нераспределенный резерв (региональный бюджет)</t>
  </si>
  <si>
    <t>Объем финансового обеспечения по годам, тыс. рублей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</si>
  <si>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</si>
  <si>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да</t>
  </si>
  <si>
    <t xml:space="preserve">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</si>
  <si>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</si>
  <si>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>Капитально отремонтировано сетей наружного освещения вдоль автодорог</t>
  </si>
  <si>
    <t>10 4 01 20360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</si>
  <si>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</si>
  <si>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КЖЦ</t>
  </si>
  <si>
    <t>Капитально отремонтировано дорог по элементам обустройства (устройство недостающего электроосвещения)</t>
  </si>
  <si>
    <t xml:space="preserve">Значения по годам, км </t>
  </si>
  <si>
    <t xml:space="preserve"> Обеспечение сохранности существующей сети автомобильных дорог  и безопасности дорожного движения     </t>
  </si>
  <si>
    <t xml:space="preserve">  Обеспечение сохранности существующей сети автомобильных дорог  и безопасности дорожного движения     </t>
  </si>
  <si>
    <t xml:space="preserve">Оказание услуг </t>
  </si>
  <si>
    <t>1.1.1.</t>
  </si>
  <si>
    <t>1.2.1.</t>
  </si>
  <si>
    <t>1.3.1.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</si>
  <si>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</si>
  <si>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1.4.1.</t>
  </si>
  <si>
    <t>Выполнены работы по ремонту мостов регионального значения</t>
  </si>
  <si>
    <t>1.5.1.</t>
  </si>
  <si>
    <t>1.6.1.</t>
  </si>
  <si>
    <t>1.7.1.</t>
  </si>
  <si>
    <t>1.8.1.</t>
  </si>
  <si>
    <t>Выполнены работы по капитальному ремонту мостов регионального значения</t>
  </si>
  <si>
    <t>Получены положительные заключения государственной экспертизы</t>
  </si>
  <si>
    <t>Прирост протяженности автомобильных дорог общего пользования регионального (межмуниципального)                        и местного значения, соответствующих нормативным требованиям,                                                   в результате капитального ремонта и ремонта автомобильных дорог</t>
  </si>
  <si>
    <t xml:space="preserve">Отремонтировано мостов местного значения </t>
  </si>
  <si>
    <t xml:space="preserve">Отремонтировано мостов регионального значения </t>
  </si>
  <si>
    <t>Министерство автомобильных дорог                         и транспорта Белгородской области</t>
  </si>
  <si>
    <t>2. Показатели комплекса процессных мероприятий 1</t>
  </si>
  <si>
    <t>Наименование показателя / задачи</t>
  </si>
  <si>
    <t>Признак возрастания / убывания</t>
  </si>
  <si>
    <t>Км</t>
  </si>
  <si>
    <t>Государственная программа</t>
  </si>
  <si>
    <t>3. Помесячный план достижения показателей комплекса процессных мероприятий 1 в 2024 году</t>
  </si>
  <si>
    <t>2024 год *</t>
  </si>
  <si>
    <t>2025 год</t>
  </si>
  <si>
    <t>2026 год</t>
  </si>
  <si>
    <t>2027 год</t>
  </si>
  <si>
    <t>2028 год</t>
  </si>
  <si>
    <t>2029 год</t>
  </si>
  <si>
    <t>2030 год</t>
  </si>
  <si>
    <t>4. Показатели комплекса процессных мероприятий 1 по муниципальным образованиям Белгородской области</t>
  </si>
  <si>
    <t>При формировании бюджета дорожного фонда Белгородской области показатель рассчитывается на 1-й финансовый год.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</si>
  <si>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                в результате капитального ремонта и ремонта автомобильных дорог</t>
  </si>
  <si>
    <t xml:space="preserve">Приобретение товаров, выполнение работ, оказание услуг </t>
  </si>
  <si>
    <t>Изготовлена проектно-сметная документация</t>
  </si>
  <si>
    <t>Штук</t>
  </si>
  <si>
    <t>5. Перечень мероприятий (результатов) комплекса процессных мероприятий 1</t>
  </si>
  <si>
    <t>6. Финансовое обеспечение комплекса процессных мероприятий 1</t>
  </si>
  <si>
    <t>2024 год</t>
  </si>
  <si>
    <t xml:space="preserve">Выполнены работы по ремонту мостов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</si>
  <si>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</si>
  <si>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</si>
  <si>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</si>
  <si>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Ответственный                                                                                                                  за достижение показателя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</si>
  <si>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                              в результате капитального ремонта                                                                   и ремонта автомобильных дорог</t>
  </si>
  <si>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</si>
  <si>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                                                                                    (далее – комплекс процессных мероприятий 1)</t>
  </si>
  <si>
    <t xml:space="preserve">Алексеевский муниципальный округ                    </t>
  </si>
  <si>
    <t xml:space="preserve">Новооскольский муниципальный округ               </t>
  </si>
  <si>
    <t xml:space="preserve">Грайворонский муниципальный округ                 </t>
  </si>
  <si>
    <t>Шебекинский муниципальный округ</t>
  </si>
  <si>
    <t xml:space="preserve">Яковлевский муниципальный округ </t>
  </si>
  <si>
    <t xml:space="preserve">Выполнены работы по капитальному ремонту и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                                      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</si>
  <si>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Валуйский муниципальный округ                      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</si>
</sst>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2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/>
    <xf numFmtId="0" fontId="2" fillId="0" borderId="0" applyNumberFormat="0" applyFill="0" applyBorder="0" applyAlignment="0" applyProtection="0"/>
    <xf numFmtId="0" fontId="13" fillId="0" borderId="0"/>
    <xf numFmtId="0" fontId="16" fillId="0" borderId="0"/>
    <xf numFmtId="0" fontId="18" fillId="0" borderId="0"/>
    <xf numFmtId="0" fontId="18" fillId="0" borderId="0"/>
    <xf numFmtId="0" fontId="19" fillId="0" borderId="0"/>
    <xf numFmtId="0" fontId="13" fillId="0" borderId="0"/>
    <xf numFmtId="0" fontId="17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43" fontId="1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 applyNumberFormat="0" applyFill="0" applyBorder="0" applyProtection="0"/>
    <xf numFmtId="0" fontId="20" fillId="0" borderId="0"/>
    <xf numFmtId="0" fontId="20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3" fontId="17" fillId="0" borderId="0" applyFont="0" applyFill="0" applyBorder="0" applyProtection="0"/>
    <xf numFmtId="0" fontId="23" fillId="0" borderId="0" applyFont="0" applyFill="0" applyBorder="0" applyProtection="0"/>
    <xf numFmtId="43" fontId="23" fillId="0" borderId="0" applyFont="0" applyFill="0" applyBorder="0" applyProtection="0"/>
    <xf numFmtId="0" fontId="19" fillId="0" borderId="0"/>
  </cellStyleXfs>
  <cellXfs count="207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4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/>
    </xf>
    <xf numFmtId="165" fontId="4" fillId="0" borderId="1" xfId="0" applyNumberFormat="1" applyFont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vertical="center" wrapText="1"/>
    </xf>
    <xf numFmtId="3" fontId="15" fillId="0" borderId="1" xfId="3" applyNumberFormat="1" applyFont="1" applyFill="1" applyBorder="1" applyAlignment="1">
      <alignment horizontal="center" vertical="center"/>
    </xf>
    <xf numFmtId="167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167" fontId="10" fillId="0" borderId="0" xfId="3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6" fontId="7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164" fontId="10" fillId="0" borderId="6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6" fontId="15" fillId="3" borderId="3" xfId="3" applyNumberFormat="1" applyFont="1" applyFill="1" applyBorder="1" applyAlignment="1">
      <alignment horizontal="center" vertical="center"/>
    </xf>
    <xf numFmtId="0" fontId="24" fillId="0" borderId="0" xfId="0" applyFont="1"/>
    <xf numFmtId="167" fontId="4" fillId="0" borderId="1" xfId="6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6" fontId="10" fillId="0" borderId="3" xfId="3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167" fontId="10" fillId="0" borderId="1" xfId="83" applyNumberFormat="1" applyFont="1" applyFill="1" applyBorder="1" applyAlignment="1">
      <alignment horizontal="center" vertical="center" wrapText="1"/>
    </xf>
    <xf numFmtId="164" fontId="10" fillId="0" borderId="8" xfId="3" applyNumberFormat="1" applyFont="1" applyFill="1" applyBorder="1" applyAlignment="1">
      <alignment horizontal="center" vertical="center" wrapText="1"/>
    </xf>
    <xf numFmtId="0" fontId="4" fillId="0" borderId="1" xfId="61" applyNumberFormat="1" applyFont="1" applyFill="1" applyBorder="1" applyAlignment="1">
      <alignment vertical="center" wrapText="1"/>
    </xf>
    <xf numFmtId="0" fontId="7" fillId="0" borderId="1" xfId="0" applyFont="1" applyFill="1" applyBorder="1"/>
    <xf numFmtId="166" fontId="10" fillId="0" borderId="9" xfId="3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top"/>
    </xf>
    <xf numFmtId="0" fontId="10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16" fontId="4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61" applyNumberFormat="1" applyFont="1" applyFill="1" applyBorder="1" applyAlignment="1">
      <alignment vertical="center" wrapText="1"/>
    </xf>
    <xf numFmtId="165" fontId="7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3" xfId="61" applyNumberFormat="1" applyFont="1" applyFill="1" applyBorder="1" applyAlignment="1">
      <alignment horizontal="left" vertical="center" wrapText="1"/>
    </xf>
    <xf numFmtId="0" fontId="3" fillId="0" borderId="5" xfId="61" applyNumberFormat="1" applyFont="1" applyFill="1" applyBorder="1" applyAlignment="1">
      <alignment horizontal="left" vertical="center" wrapText="1"/>
    </xf>
    <xf numFmtId="0" fontId="3" fillId="0" borderId="4" xfId="6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61" applyNumberFormat="1" applyFont="1" applyFill="1" applyBorder="1" applyAlignment="1">
      <alignment horizontal="left" vertical="center" wrapText="1"/>
    </xf>
    <xf numFmtId="0" fontId="4" fillId="0" borderId="8" xfId="61" applyNumberFormat="1" applyFont="1" applyFill="1" applyBorder="1" applyAlignment="1">
      <alignment horizontal="left" vertical="center" wrapText="1"/>
    </xf>
    <xf numFmtId="0" fontId="4" fillId="0" borderId="7" xfId="61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84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Обычный_3-РЕМОНТ_МОСТОВ на 2011год" xfId="83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Z32"/>
  <sheetViews>
    <sheetView view="pageBreakPreview" topLeftCell="A6" zoomScale="80" zoomScaleNormal="84" zoomScaleSheetLayoutView="80" workbookViewId="0">
      <selection activeCell="H9" sqref="H9"/>
    </sheetView>
  </sheetViews>
  <sheetFormatPr defaultColWidth="9.140625" defaultRowHeight="15.75"/>
  <cols>
    <col min="1" max="1" width="4.42578125" style="84" customWidth="1"/>
    <col min="2" max="2" width="37.42578125" style="84" customWidth="1"/>
    <col min="3" max="3" width="16.140625" style="84" customWidth="1"/>
    <col min="4" max="4" width="18" style="84" customWidth="1"/>
    <col min="5" max="5" width="12.42578125" style="84" customWidth="1"/>
    <col min="6" max="6" width="10.28515625" style="84" customWidth="1"/>
    <col min="7" max="7" width="7.28515625" style="84" customWidth="1"/>
    <col min="8" max="8" width="8.28515625" style="84" customWidth="1"/>
    <col min="9" max="9" width="7.5703125" style="84" customWidth="1"/>
    <col min="10" max="10" width="7.7109375" style="84" customWidth="1"/>
    <col min="11" max="11" width="8" style="84" customWidth="1"/>
    <col min="12" max="12" width="7.85546875" style="84" customWidth="1"/>
    <col min="13" max="13" width="9.140625" style="84"/>
    <col min="14" max="14" width="8.42578125" style="84" customWidth="1"/>
    <col min="15" max="15" width="28.140625" style="84" customWidth="1"/>
    <col min="16" max="16" width="24" style="4" hidden="1" customWidth="1"/>
    <col min="17" max="17" width="20.140625" style="4" hidden="1" customWidth="1"/>
    <col min="18" max="16384" width="9.140625" style="4"/>
  </cols>
  <sheetData>
    <row r="1" spans="1:26">
      <c r="A1" s="82" t="str">
        <f>HYPERLINK("#Оглавление!A1","Назад в оглавление")</f>
        <v>Назад в оглавление</v>
      </c>
      <c r="B1" s="83"/>
      <c r="D1" s="85"/>
    </row>
    <row r="2" spans="1:26" ht="52.5" customHeight="1">
      <c r="A2" s="140" t="s">
        <v>203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1" t="s">
        <v>202</v>
      </c>
      <c r="Q2" s="141"/>
    </row>
    <row r="3" spans="1:26" ht="28.5" customHeight="1">
      <c r="A3" s="86"/>
      <c r="B3" s="142" t="s">
        <v>174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</row>
    <row r="4" spans="1:26" ht="28.5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22"/>
      <c r="Q4" s="22"/>
    </row>
    <row r="5" spans="1:26" ht="40.5" customHeight="1">
      <c r="A5" s="143" t="s">
        <v>0</v>
      </c>
      <c r="B5" s="144" t="s">
        <v>175</v>
      </c>
      <c r="C5" s="144" t="s">
        <v>176</v>
      </c>
      <c r="D5" s="144" t="s">
        <v>131</v>
      </c>
      <c r="E5" s="144" t="s">
        <v>4</v>
      </c>
      <c r="F5" s="143" t="s">
        <v>5</v>
      </c>
      <c r="G5" s="143"/>
      <c r="H5" s="144" t="s">
        <v>16</v>
      </c>
      <c r="I5" s="144"/>
      <c r="J5" s="144"/>
      <c r="K5" s="144"/>
      <c r="L5" s="144"/>
      <c r="M5" s="144"/>
      <c r="N5" s="144"/>
      <c r="O5" s="144" t="s">
        <v>200</v>
      </c>
      <c r="P5" s="145" t="s">
        <v>133</v>
      </c>
      <c r="Q5" s="147" t="s">
        <v>132</v>
      </c>
    </row>
    <row r="6" spans="1:26" ht="41.45" customHeight="1">
      <c r="A6" s="143"/>
      <c r="B6" s="144"/>
      <c r="C6" s="144"/>
      <c r="D6" s="144"/>
      <c r="E6" s="144"/>
      <c r="F6" s="88" t="s">
        <v>6</v>
      </c>
      <c r="G6" s="88" t="s">
        <v>15</v>
      </c>
      <c r="H6" s="88">
        <v>2024</v>
      </c>
      <c r="I6" s="88">
        <v>2025</v>
      </c>
      <c r="J6" s="88">
        <v>2026</v>
      </c>
      <c r="K6" s="88">
        <v>2027</v>
      </c>
      <c r="L6" s="88">
        <v>2028</v>
      </c>
      <c r="M6" s="88">
        <v>2029</v>
      </c>
      <c r="N6" s="88">
        <v>2030</v>
      </c>
      <c r="O6" s="144"/>
      <c r="P6" s="146"/>
      <c r="Q6" s="147"/>
      <c r="U6" s="4" t="s">
        <v>122</v>
      </c>
    </row>
    <row r="7" spans="1:26" ht="33.75" customHeight="1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88">
        <v>14</v>
      </c>
      <c r="O7" s="88">
        <v>15</v>
      </c>
      <c r="P7" s="78">
        <v>16</v>
      </c>
      <c r="Q7" s="78">
        <v>17</v>
      </c>
    </row>
    <row r="8" spans="1:26" ht="45" customHeight="1">
      <c r="A8" s="88" t="s">
        <v>1</v>
      </c>
      <c r="B8" s="148" t="s">
        <v>155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50"/>
      <c r="P8" s="80"/>
      <c r="Q8" s="17"/>
    </row>
    <row r="9" spans="1:26" ht="142.5" customHeight="1">
      <c r="A9" s="89" t="s">
        <v>8</v>
      </c>
      <c r="B9" s="17" t="s">
        <v>201</v>
      </c>
      <c r="C9" s="21" t="s">
        <v>113</v>
      </c>
      <c r="D9" s="21" t="s">
        <v>178</v>
      </c>
      <c r="E9" s="89" t="s">
        <v>177</v>
      </c>
      <c r="F9" s="90">
        <v>652.9</v>
      </c>
      <c r="G9" s="89">
        <v>2022</v>
      </c>
      <c r="H9" s="90">
        <f>H11+H12</f>
        <v>156.68100000000001</v>
      </c>
      <c r="I9" s="90">
        <f t="shared" ref="I9:N9" si="0">I11+I12+I15</f>
        <v>129.518</v>
      </c>
      <c r="J9" s="90">
        <f t="shared" si="0"/>
        <v>99.1</v>
      </c>
      <c r="K9" s="90">
        <f t="shared" si="0"/>
        <v>167.2</v>
      </c>
      <c r="L9" s="90">
        <f t="shared" si="0"/>
        <v>179.7</v>
      </c>
      <c r="M9" s="90">
        <f t="shared" si="0"/>
        <v>185</v>
      </c>
      <c r="N9" s="90">
        <f t="shared" si="0"/>
        <v>190</v>
      </c>
      <c r="O9" s="21" t="s">
        <v>173</v>
      </c>
      <c r="P9" s="80" t="s">
        <v>146</v>
      </c>
      <c r="Q9" s="15"/>
      <c r="Z9" s="4" t="s">
        <v>122</v>
      </c>
    </row>
    <row r="10" spans="1:26" ht="45.2" hidden="1" customHeight="1">
      <c r="A10" s="89" t="s">
        <v>8</v>
      </c>
      <c r="B10" s="17" t="s">
        <v>106</v>
      </c>
      <c r="C10" s="21" t="s">
        <v>113</v>
      </c>
      <c r="D10" s="89" t="s">
        <v>105</v>
      </c>
      <c r="E10" s="89" t="s">
        <v>28</v>
      </c>
      <c r="F10" s="90">
        <v>6339.9</v>
      </c>
      <c r="G10" s="89">
        <v>2022</v>
      </c>
      <c r="H10" s="90">
        <v>6359</v>
      </c>
      <c r="I10" s="90">
        <v>6359</v>
      </c>
      <c r="J10" s="90">
        <v>6359</v>
      </c>
      <c r="K10" s="90">
        <v>6359</v>
      </c>
      <c r="L10" s="90">
        <v>6359</v>
      </c>
      <c r="M10" s="90">
        <v>6359</v>
      </c>
      <c r="N10" s="90">
        <v>6359</v>
      </c>
      <c r="O10" s="151" t="s">
        <v>107</v>
      </c>
      <c r="P10" s="80"/>
      <c r="Q10" s="15"/>
    </row>
    <row r="11" spans="1:26" ht="53.25" hidden="1" customHeight="1">
      <c r="A11" s="21" t="s">
        <v>12</v>
      </c>
      <c r="B11" s="17" t="s">
        <v>108</v>
      </c>
      <c r="C11" s="21" t="s">
        <v>113</v>
      </c>
      <c r="D11" s="89" t="s">
        <v>105</v>
      </c>
      <c r="E11" s="21" t="s">
        <v>28</v>
      </c>
      <c r="F11" s="70">
        <v>88</v>
      </c>
      <c r="G11" s="89">
        <v>2022</v>
      </c>
      <c r="H11" s="70">
        <f>56.1</f>
        <v>56.1</v>
      </c>
      <c r="I11" s="47">
        <v>60.564000000000007</v>
      </c>
      <c r="J11" s="70">
        <v>99.1</v>
      </c>
      <c r="K11" s="70">
        <v>167.2</v>
      </c>
      <c r="L11" s="70">
        <v>176.7</v>
      </c>
      <c r="M11" s="70">
        <v>182</v>
      </c>
      <c r="N11" s="70">
        <v>187</v>
      </c>
      <c r="O11" s="152"/>
      <c r="P11" s="80"/>
      <c r="Q11" s="14"/>
    </row>
    <row r="12" spans="1:26" ht="68.25" hidden="1" customHeight="1">
      <c r="A12" s="21" t="s">
        <v>50</v>
      </c>
      <c r="B12" s="17" t="s">
        <v>109</v>
      </c>
      <c r="C12" s="21" t="s">
        <v>113</v>
      </c>
      <c r="D12" s="89" t="s">
        <v>105</v>
      </c>
      <c r="E12" s="21" t="s">
        <v>28</v>
      </c>
      <c r="F12" s="21">
        <v>285.8</v>
      </c>
      <c r="G12" s="89">
        <v>2022</v>
      </c>
      <c r="H12" s="47">
        <v>100.581</v>
      </c>
      <c r="I12" s="47">
        <v>67.453999999999994</v>
      </c>
      <c r="J12" s="21"/>
      <c r="K12" s="21"/>
      <c r="L12" s="21"/>
      <c r="M12" s="21"/>
      <c r="N12" s="21"/>
      <c r="O12" s="52" t="s">
        <v>112</v>
      </c>
      <c r="P12" s="59"/>
      <c r="Q12" s="14"/>
    </row>
    <row r="13" spans="1:26" ht="41.45" hidden="1" customHeight="1">
      <c r="A13" s="21" t="s">
        <v>51</v>
      </c>
      <c r="B13" s="17" t="s">
        <v>110</v>
      </c>
      <c r="C13" s="21" t="s">
        <v>113</v>
      </c>
      <c r="D13" s="89" t="s">
        <v>105</v>
      </c>
      <c r="E13" s="21" t="s">
        <v>30</v>
      </c>
      <c r="F13" s="21">
        <v>9</v>
      </c>
      <c r="G13" s="89">
        <v>2022</v>
      </c>
      <c r="H13" s="21" t="s">
        <v>55</v>
      </c>
      <c r="I13" s="21" t="s">
        <v>55</v>
      </c>
      <c r="J13" s="21">
        <v>4</v>
      </c>
      <c r="K13" s="21">
        <v>2</v>
      </c>
      <c r="L13" s="21">
        <v>1</v>
      </c>
      <c r="M13" s="21">
        <v>1</v>
      </c>
      <c r="N13" s="21">
        <v>1</v>
      </c>
      <c r="O13" s="54" t="s">
        <v>114</v>
      </c>
      <c r="P13" s="38"/>
      <c r="Q13" s="14"/>
    </row>
    <row r="14" spans="1:26" ht="75" hidden="1" customHeight="1">
      <c r="A14" s="21" t="s">
        <v>58</v>
      </c>
      <c r="B14" s="17" t="s">
        <v>111</v>
      </c>
      <c r="C14" s="21" t="s">
        <v>113</v>
      </c>
      <c r="D14" s="89" t="s">
        <v>105</v>
      </c>
      <c r="E14" s="21" t="s">
        <v>30</v>
      </c>
      <c r="F14" s="21">
        <v>2</v>
      </c>
      <c r="G14" s="89">
        <v>2022</v>
      </c>
      <c r="H14" s="21">
        <v>1</v>
      </c>
      <c r="I14" s="21" t="s">
        <v>55</v>
      </c>
      <c r="J14" s="21" t="s">
        <v>55</v>
      </c>
      <c r="K14" s="21" t="s">
        <v>55</v>
      </c>
      <c r="L14" s="21" t="s">
        <v>55</v>
      </c>
      <c r="M14" s="21" t="s">
        <v>55</v>
      </c>
      <c r="N14" s="21" t="s">
        <v>55</v>
      </c>
      <c r="O14" s="52" t="s">
        <v>112</v>
      </c>
      <c r="P14" s="59"/>
      <c r="Q14" s="14"/>
    </row>
    <row r="15" spans="1:26" ht="54.75" hidden="1" customHeight="1">
      <c r="A15" s="21" t="s">
        <v>59</v>
      </c>
      <c r="B15" s="17" t="s">
        <v>91</v>
      </c>
      <c r="C15" s="21" t="s">
        <v>113</v>
      </c>
      <c r="D15" s="89" t="s">
        <v>105</v>
      </c>
      <c r="E15" s="89" t="s">
        <v>28</v>
      </c>
      <c r="F15" s="89" t="s">
        <v>90</v>
      </c>
      <c r="G15" s="89">
        <v>2022</v>
      </c>
      <c r="H15" s="89"/>
      <c r="I15" s="91">
        <v>1.5</v>
      </c>
      <c r="J15" s="91"/>
      <c r="K15" s="91"/>
      <c r="L15" s="91">
        <v>3</v>
      </c>
      <c r="M15" s="91">
        <v>3</v>
      </c>
      <c r="N15" s="91">
        <v>3</v>
      </c>
      <c r="O15" s="137" t="s">
        <v>114</v>
      </c>
      <c r="P15" s="35"/>
      <c r="Q15" s="15"/>
    </row>
    <row r="16" spans="1:26" ht="54.75" hidden="1" customHeight="1">
      <c r="A16" s="21" t="s">
        <v>60</v>
      </c>
      <c r="B16" s="17" t="s">
        <v>92</v>
      </c>
      <c r="C16" s="21" t="s">
        <v>113</v>
      </c>
      <c r="D16" s="89" t="s">
        <v>105</v>
      </c>
      <c r="E16" s="89" t="s">
        <v>28</v>
      </c>
      <c r="F16" s="89">
        <v>3.1</v>
      </c>
      <c r="G16" s="89">
        <v>2022</v>
      </c>
      <c r="H16" s="34"/>
      <c r="I16" s="34">
        <v>5.0999999999999996</v>
      </c>
      <c r="J16" s="91">
        <v>34.200000000000003</v>
      </c>
      <c r="K16" s="91">
        <v>46.4</v>
      </c>
      <c r="L16" s="91">
        <v>50</v>
      </c>
      <c r="M16" s="91">
        <v>50</v>
      </c>
      <c r="N16" s="91">
        <v>50</v>
      </c>
      <c r="O16" s="138"/>
      <c r="P16" s="35"/>
      <c r="Q16" s="15"/>
    </row>
    <row r="17" spans="1:17" ht="55.7" hidden="1" customHeight="1">
      <c r="A17" s="21" t="s">
        <v>61</v>
      </c>
      <c r="B17" s="17" t="s">
        <v>93</v>
      </c>
      <c r="C17" s="21" t="s">
        <v>113</v>
      </c>
      <c r="D17" s="89" t="s">
        <v>105</v>
      </c>
      <c r="E17" s="89" t="s">
        <v>94</v>
      </c>
      <c r="F17" s="89" t="s">
        <v>90</v>
      </c>
      <c r="G17" s="89">
        <v>2022</v>
      </c>
      <c r="H17" s="92" t="s">
        <v>90</v>
      </c>
      <c r="I17" s="92" t="s">
        <v>90</v>
      </c>
      <c r="J17" s="92" t="s">
        <v>90</v>
      </c>
      <c r="K17" s="92" t="s">
        <v>90</v>
      </c>
      <c r="L17" s="92" t="s">
        <v>90</v>
      </c>
      <c r="M17" s="92" t="s">
        <v>90</v>
      </c>
      <c r="N17" s="92" t="s">
        <v>90</v>
      </c>
      <c r="O17" s="138"/>
      <c r="P17" s="35"/>
      <c r="Q17" s="15"/>
    </row>
    <row r="18" spans="1:17" ht="41.45" hidden="1" customHeight="1">
      <c r="A18" s="21" t="s">
        <v>62</v>
      </c>
      <c r="B18" s="93" t="s">
        <v>32</v>
      </c>
      <c r="C18" s="21" t="s">
        <v>113</v>
      </c>
      <c r="D18" s="89" t="s">
        <v>105</v>
      </c>
      <c r="E18" s="21" t="s">
        <v>30</v>
      </c>
      <c r="F18" s="21">
        <v>10</v>
      </c>
      <c r="G18" s="89">
        <v>2022</v>
      </c>
      <c r="H18" s="21">
        <v>10</v>
      </c>
      <c r="I18" s="21">
        <v>10</v>
      </c>
      <c r="J18" s="21">
        <v>10</v>
      </c>
      <c r="K18" s="21">
        <v>10</v>
      </c>
      <c r="L18" s="21">
        <v>10</v>
      </c>
      <c r="M18" s="21">
        <v>10</v>
      </c>
      <c r="N18" s="21">
        <v>10</v>
      </c>
      <c r="O18" s="139"/>
      <c r="P18" s="35"/>
      <c r="Q18" s="14"/>
    </row>
    <row r="19" spans="1:17" ht="33.950000000000003" customHeight="1">
      <c r="A19" s="94"/>
      <c r="B19" s="94"/>
      <c r="C19" s="94"/>
      <c r="D19" s="94"/>
      <c r="E19" s="95"/>
      <c r="F19" s="95"/>
      <c r="G19" s="96"/>
      <c r="H19" s="95"/>
      <c r="I19" s="95"/>
      <c r="J19" s="95"/>
      <c r="K19" s="95"/>
      <c r="L19" s="95"/>
      <c r="M19" s="95"/>
      <c r="N19" s="95"/>
      <c r="O19" s="94"/>
      <c r="P19" s="16"/>
      <c r="Q19" s="16"/>
    </row>
    <row r="20" spans="1:17">
      <c r="A20" s="97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1"/>
      <c r="Q20" s="1"/>
    </row>
    <row r="21" spans="1:17"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1"/>
      <c r="Q21" s="1"/>
    </row>
    <row r="26" spans="1:17">
      <c r="J26" s="84" t="s">
        <v>147</v>
      </c>
    </row>
    <row r="32" spans="1:17">
      <c r="E32" s="84" t="s">
        <v>123</v>
      </c>
    </row>
  </sheetData>
  <mergeCells count="16">
    <mergeCell ref="O15:O18"/>
    <mergeCell ref="A2:O2"/>
    <mergeCell ref="P2:Q2"/>
    <mergeCell ref="B3:Q3"/>
    <mergeCell ref="A5:A6"/>
    <mergeCell ref="B5:B6"/>
    <mergeCell ref="C5:C6"/>
    <mergeCell ref="D5:D6"/>
    <mergeCell ref="E5:E6"/>
    <mergeCell ref="F5:G5"/>
    <mergeCell ref="H5:N5"/>
    <mergeCell ref="O5:O6"/>
    <mergeCell ref="P5:P6"/>
    <mergeCell ref="Q5:Q6"/>
    <mergeCell ref="B8:O8"/>
    <mergeCell ref="O10:O11"/>
  </mergeCells>
  <hyperlinks>
    <hyperlink ref="F5" location="_ftn1" display="_ftn1"/>
  </hyperlinks>
  <printOptions horizontalCentered="1"/>
  <pageMargins left="0.59055118110236227" right="0.59055118110236227" top="0.78740157480314965" bottom="0.59055118110236227" header="0.31496062992125984" footer="0.31496062992125984"/>
  <pageSetup paperSize="9" scale="70" firstPageNumber="34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W18"/>
  <sheetViews>
    <sheetView view="pageBreakPreview" zoomScale="80" zoomScaleSheetLayoutView="80" workbookViewId="0">
      <selection activeCell="P9" sqref="P9"/>
    </sheetView>
  </sheetViews>
  <sheetFormatPr defaultColWidth="9.140625" defaultRowHeight="15"/>
  <cols>
    <col min="1" max="1" width="5.42578125" style="8" customWidth="1"/>
    <col min="2" max="2" width="43.7109375" style="8" customWidth="1"/>
    <col min="3" max="3" width="20" style="8" customWidth="1"/>
    <col min="4" max="4" width="12.85546875" style="8" customWidth="1"/>
    <col min="5" max="5" width="8.7109375" style="8" customWidth="1"/>
    <col min="6" max="6" width="12.140625" style="8" customWidth="1"/>
    <col min="7" max="8" width="9.140625" style="8"/>
    <col min="9" max="9" width="7.5703125" style="8" customWidth="1"/>
    <col min="10" max="12" width="9.140625" style="8"/>
    <col min="13" max="13" width="11" style="8" customWidth="1"/>
    <col min="14" max="15" width="9.140625" style="8"/>
    <col min="16" max="16" width="12.140625" style="8" customWidth="1"/>
    <col min="17" max="16384" width="9.140625" style="8"/>
  </cols>
  <sheetData>
    <row r="1" spans="1:23" s="3" customFormat="1" ht="15.75">
      <c r="A1" s="2" t="str">
        <f>HYPERLINK("#Оглавление!A1","Назад в оглавление")</f>
        <v>Назад в оглавление</v>
      </c>
      <c r="B1" s="5"/>
      <c r="C1" s="5"/>
    </row>
    <row r="2" spans="1:23" ht="23.45" customHeigh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23" ht="28.5" customHeight="1">
      <c r="A3" s="157" t="s">
        <v>179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9"/>
    </row>
    <row r="4" spans="1:23" ht="20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19"/>
    </row>
    <row r="5" spans="1:23" ht="25.5" customHeight="1">
      <c r="A5" s="158" t="s">
        <v>0</v>
      </c>
      <c r="B5" s="159" t="s">
        <v>3</v>
      </c>
      <c r="C5" s="160" t="s">
        <v>131</v>
      </c>
      <c r="D5" s="159" t="s">
        <v>4</v>
      </c>
      <c r="E5" s="159" t="s">
        <v>134</v>
      </c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 t="s">
        <v>40</v>
      </c>
      <c r="Q5" s="19"/>
    </row>
    <row r="6" spans="1:23" ht="30" customHeight="1">
      <c r="A6" s="158"/>
      <c r="B6" s="159"/>
      <c r="C6" s="161"/>
      <c r="D6" s="159"/>
      <c r="E6" s="45" t="s">
        <v>33</v>
      </c>
      <c r="F6" s="45" t="s">
        <v>34</v>
      </c>
      <c r="G6" s="45" t="s">
        <v>23</v>
      </c>
      <c r="H6" s="45" t="s">
        <v>35</v>
      </c>
      <c r="I6" s="45" t="s">
        <v>9</v>
      </c>
      <c r="J6" s="45" t="s">
        <v>10</v>
      </c>
      <c r="K6" s="45" t="s">
        <v>11</v>
      </c>
      <c r="L6" s="45" t="s">
        <v>36</v>
      </c>
      <c r="M6" s="45" t="s">
        <v>37</v>
      </c>
      <c r="N6" s="45" t="s">
        <v>38</v>
      </c>
      <c r="O6" s="45" t="s">
        <v>39</v>
      </c>
      <c r="P6" s="159"/>
      <c r="Q6" s="19"/>
    </row>
    <row r="7" spans="1:23" ht="36.75" customHeight="1">
      <c r="A7" s="79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79">
        <v>9</v>
      </c>
      <c r="J7" s="79">
        <v>10</v>
      </c>
      <c r="K7" s="79">
        <v>11</v>
      </c>
      <c r="L7" s="79">
        <v>12</v>
      </c>
      <c r="M7" s="79">
        <v>13</v>
      </c>
      <c r="N7" s="79">
        <v>14</v>
      </c>
      <c r="O7" s="79">
        <v>15</v>
      </c>
      <c r="P7" s="79">
        <v>16</v>
      </c>
      <c r="Q7" s="19"/>
    </row>
    <row r="8" spans="1:23" ht="45" customHeight="1">
      <c r="A8" s="79" t="s">
        <v>1</v>
      </c>
      <c r="B8" s="153" t="s">
        <v>155</v>
      </c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5"/>
      <c r="Q8" s="19"/>
    </row>
    <row r="9" spans="1:23" s="64" customFormat="1" ht="105.95" customHeight="1">
      <c r="A9" s="7" t="s">
        <v>8</v>
      </c>
      <c r="B9" s="17" t="s">
        <v>145</v>
      </c>
      <c r="C9" s="36" t="s">
        <v>178</v>
      </c>
      <c r="D9" s="7" t="s">
        <v>177</v>
      </c>
      <c r="E9" s="9" t="s">
        <v>55</v>
      </c>
      <c r="F9" s="9" t="s">
        <v>55</v>
      </c>
      <c r="G9" s="9" t="s">
        <v>55</v>
      </c>
      <c r="H9" s="37">
        <v>25.6</v>
      </c>
      <c r="I9" s="37">
        <v>47.8</v>
      </c>
      <c r="J9" s="37">
        <v>18.3</v>
      </c>
      <c r="K9" s="37">
        <v>18.399999999999999</v>
      </c>
      <c r="L9" s="37">
        <v>9</v>
      </c>
      <c r="M9" s="37">
        <v>9.5</v>
      </c>
      <c r="N9" s="90">
        <v>15.5</v>
      </c>
      <c r="O9" s="90">
        <f>12.7-0.119</f>
        <v>12.581</v>
      </c>
      <c r="P9" s="90">
        <f>SUM(H9:O9)</f>
        <v>156.68099999999998</v>
      </c>
      <c r="Q9" s="63"/>
    </row>
    <row r="10" spans="1:23" ht="36.75" hidden="1" customHeight="1">
      <c r="A10" s="61" t="s">
        <v>8</v>
      </c>
      <c r="B10" s="17" t="s">
        <v>106</v>
      </c>
      <c r="C10" s="7" t="s">
        <v>105</v>
      </c>
      <c r="D10" s="58" t="s">
        <v>28</v>
      </c>
      <c r="E10" s="37">
        <v>6339.9</v>
      </c>
      <c r="F10" s="37">
        <v>6339.9</v>
      </c>
      <c r="G10" s="37">
        <v>6339.9</v>
      </c>
      <c r="H10" s="37">
        <v>6339.9</v>
      </c>
      <c r="I10" s="37">
        <v>6339.9</v>
      </c>
      <c r="J10" s="37">
        <v>6339.9</v>
      </c>
      <c r="K10" s="37">
        <v>6339.9</v>
      </c>
      <c r="L10" s="37">
        <v>6339.9</v>
      </c>
      <c r="M10" s="37">
        <v>6339.9</v>
      </c>
      <c r="N10" s="37">
        <v>6339.9</v>
      </c>
      <c r="O10" s="37">
        <v>6339.9</v>
      </c>
      <c r="P10" s="37">
        <v>6339.9</v>
      </c>
      <c r="Q10" s="19"/>
    </row>
    <row r="11" spans="1:23" ht="34.5" hidden="1" customHeight="1">
      <c r="A11" s="36" t="s">
        <v>12</v>
      </c>
      <c r="B11" s="17" t="s">
        <v>108</v>
      </c>
      <c r="C11" s="7" t="s">
        <v>105</v>
      </c>
      <c r="D11" s="58" t="s">
        <v>28</v>
      </c>
      <c r="E11" s="9" t="s">
        <v>55</v>
      </c>
      <c r="F11" s="9" t="s">
        <v>55</v>
      </c>
      <c r="G11" s="9" t="s">
        <v>55</v>
      </c>
      <c r="H11" s="9" t="s">
        <v>55</v>
      </c>
      <c r="I11" s="9">
        <v>26.7</v>
      </c>
      <c r="J11" s="9">
        <f>31-I11</f>
        <v>4.3000000000000007</v>
      </c>
      <c r="K11" s="136">
        <f>38.9-I11-J11</f>
        <v>7.8999999999999986</v>
      </c>
      <c r="L11" s="136">
        <f>38.9-I11-J11-K11</f>
        <v>0</v>
      </c>
      <c r="M11" s="136">
        <f>53.1-I11-J11-K11-L11</f>
        <v>14.200000000000003</v>
      </c>
      <c r="N11" s="136">
        <v>0.3</v>
      </c>
      <c r="O11" s="92">
        <v>2.7</v>
      </c>
      <c r="P11" s="136">
        <v>56.1</v>
      </c>
      <c r="Q11" s="19"/>
    </row>
    <row r="12" spans="1:23" ht="35.25" hidden="1" customHeight="1">
      <c r="A12" s="36" t="s">
        <v>50</v>
      </c>
      <c r="B12" s="17" t="s">
        <v>109</v>
      </c>
      <c r="C12" s="7" t="s">
        <v>105</v>
      </c>
      <c r="D12" s="58" t="s">
        <v>28</v>
      </c>
      <c r="E12" s="9" t="s">
        <v>55</v>
      </c>
      <c r="F12" s="9" t="s">
        <v>55</v>
      </c>
      <c r="G12" s="9" t="s">
        <v>55</v>
      </c>
      <c r="H12" s="9">
        <v>25.6</v>
      </c>
      <c r="I12" s="9">
        <f>46.7-H12</f>
        <v>21.1</v>
      </c>
      <c r="J12" s="135">
        <f>60.7-H12-I12</f>
        <v>14</v>
      </c>
      <c r="K12" s="135">
        <f>71.2-H12-I12-J12</f>
        <v>10.5</v>
      </c>
      <c r="L12" s="135">
        <f>75.5-H12-I12-J12-K12</f>
        <v>4.2999999999999972</v>
      </c>
      <c r="M12" s="135">
        <f>75.5-H12-I12-J12-K12-L12</f>
        <v>0</v>
      </c>
      <c r="N12" s="135">
        <v>15.2</v>
      </c>
      <c r="O12" s="135">
        <v>10</v>
      </c>
      <c r="P12" s="135">
        <v>100.7</v>
      </c>
      <c r="Q12" s="19"/>
    </row>
    <row r="13" spans="1:23" ht="33.950000000000003" hidden="1" customHeight="1">
      <c r="A13" s="36" t="s">
        <v>51</v>
      </c>
      <c r="B13" s="17" t="s">
        <v>110</v>
      </c>
      <c r="C13" s="7" t="s">
        <v>105</v>
      </c>
      <c r="D13" s="58" t="s">
        <v>98</v>
      </c>
      <c r="E13" s="9" t="s">
        <v>55</v>
      </c>
      <c r="F13" s="9" t="s">
        <v>55</v>
      </c>
      <c r="G13" s="9" t="s">
        <v>55</v>
      </c>
      <c r="H13" s="9" t="s">
        <v>55</v>
      </c>
      <c r="I13" s="9" t="s">
        <v>55</v>
      </c>
      <c r="J13" s="9" t="s">
        <v>55</v>
      </c>
      <c r="K13" s="9" t="s">
        <v>55</v>
      </c>
      <c r="L13" s="9" t="s">
        <v>55</v>
      </c>
      <c r="M13" s="9" t="s">
        <v>55</v>
      </c>
      <c r="N13" s="29"/>
      <c r="O13" s="29"/>
      <c r="P13" s="29"/>
      <c r="Q13" s="19"/>
    </row>
    <row r="14" spans="1:23" ht="36.75" hidden="1" customHeight="1">
      <c r="A14" s="36" t="s">
        <v>58</v>
      </c>
      <c r="B14" s="17" t="s">
        <v>111</v>
      </c>
      <c r="C14" s="7" t="s">
        <v>105</v>
      </c>
      <c r="D14" s="58" t="s">
        <v>98</v>
      </c>
      <c r="E14" s="9" t="s">
        <v>55</v>
      </c>
      <c r="F14" s="9" t="s">
        <v>55</v>
      </c>
      <c r="G14" s="9" t="s">
        <v>55</v>
      </c>
      <c r="H14" s="9" t="s">
        <v>55</v>
      </c>
      <c r="I14" s="9" t="s">
        <v>55</v>
      </c>
      <c r="J14" s="9" t="s">
        <v>55</v>
      </c>
      <c r="K14" s="9" t="s">
        <v>55</v>
      </c>
      <c r="L14" s="9" t="s">
        <v>55</v>
      </c>
      <c r="M14" s="9" t="s">
        <v>55</v>
      </c>
      <c r="N14" s="29">
        <v>1</v>
      </c>
      <c r="O14" s="29">
        <v>1</v>
      </c>
      <c r="P14" s="29">
        <v>1</v>
      </c>
      <c r="Q14" s="19"/>
    </row>
    <row r="15" spans="1:23" ht="60" hidden="1" customHeight="1">
      <c r="A15" s="36" t="s">
        <v>59</v>
      </c>
      <c r="B15" s="17" t="s">
        <v>91</v>
      </c>
      <c r="C15" s="7" t="s">
        <v>105</v>
      </c>
      <c r="D15" s="58" t="s">
        <v>28</v>
      </c>
      <c r="E15" s="9" t="s">
        <v>90</v>
      </c>
      <c r="F15" s="9" t="s">
        <v>90</v>
      </c>
      <c r="G15" s="9" t="s">
        <v>90</v>
      </c>
      <c r="H15" s="9" t="s">
        <v>90</v>
      </c>
      <c r="I15" s="9" t="s">
        <v>90</v>
      </c>
      <c r="J15" s="9" t="s">
        <v>90</v>
      </c>
      <c r="K15" s="9" t="s">
        <v>90</v>
      </c>
      <c r="L15" s="9" t="s">
        <v>90</v>
      </c>
      <c r="M15" s="9" t="s">
        <v>90</v>
      </c>
      <c r="N15" s="9" t="s">
        <v>90</v>
      </c>
      <c r="O15" s="9" t="s">
        <v>90</v>
      </c>
      <c r="P15" s="9" t="s">
        <v>90</v>
      </c>
      <c r="Q15" s="19"/>
      <c r="W15" s="8" t="s">
        <v>122</v>
      </c>
    </row>
    <row r="16" spans="1:23" ht="40.5" hidden="1" customHeight="1">
      <c r="A16" s="36" t="s">
        <v>60</v>
      </c>
      <c r="B16" s="17" t="s">
        <v>92</v>
      </c>
      <c r="C16" s="7" t="s">
        <v>105</v>
      </c>
      <c r="D16" s="58" t="s">
        <v>28</v>
      </c>
      <c r="E16" s="9" t="s">
        <v>90</v>
      </c>
      <c r="F16" s="9" t="s">
        <v>90</v>
      </c>
      <c r="G16" s="9" t="s">
        <v>90</v>
      </c>
      <c r="H16" s="9" t="s">
        <v>90</v>
      </c>
      <c r="I16" s="9" t="s">
        <v>90</v>
      </c>
      <c r="J16" s="9" t="s">
        <v>90</v>
      </c>
      <c r="K16" s="9" t="s">
        <v>90</v>
      </c>
      <c r="L16" s="9" t="s">
        <v>90</v>
      </c>
      <c r="M16" s="58">
        <v>11.1</v>
      </c>
      <c r="N16" s="9" t="s">
        <v>90</v>
      </c>
      <c r="O16" s="58"/>
      <c r="P16" s="58">
        <v>11.1</v>
      </c>
      <c r="Q16" s="19"/>
    </row>
    <row r="17" spans="1:17" ht="48.75" hidden="1" customHeight="1">
      <c r="A17" s="36" t="s">
        <v>61</v>
      </c>
      <c r="B17" s="17" t="s">
        <v>93</v>
      </c>
      <c r="C17" s="7" t="s">
        <v>105</v>
      </c>
      <c r="D17" s="58" t="s">
        <v>98</v>
      </c>
      <c r="E17" s="9" t="s">
        <v>90</v>
      </c>
      <c r="F17" s="9" t="s">
        <v>90</v>
      </c>
      <c r="G17" s="9" t="s">
        <v>90</v>
      </c>
      <c r="H17" s="9" t="s">
        <v>90</v>
      </c>
      <c r="I17" s="9" t="s">
        <v>90</v>
      </c>
      <c r="J17" s="9" t="s">
        <v>90</v>
      </c>
      <c r="K17" s="9" t="s">
        <v>90</v>
      </c>
      <c r="L17" s="9" t="s">
        <v>90</v>
      </c>
      <c r="M17" s="9" t="s">
        <v>90</v>
      </c>
      <c r="N17" s="9" t="s">
        <v>90</v>
      </c>
      <c r="O17" s="9" t="s">
        <v>90</v>
      </c>
      <c r="P17" s="9" t="s">
        <v>90</v>
      </c>
      <c r="Q17" s="19"/>
    </row>
    <row r="18" spans="1:17" ht="36.75" hidden="1" customHeight="1">
      <c r="A18" s="36" t="s">
        <v>62</v>
      </c>
      <c r="B18" s="14" t="s">
        <v>32</v>
      </c>
      <c r="C18" s="7" t="s">
        <v>105</v>
      </c>
      <c r="D18" s="36" t="s">
        <v>30</v>
      </c>
      <c r="E18" s="9" t="s">
        <v>55</v>
      </c>
      <c r="F18" s="9" t="s">
        <v>55</v>
      </c>
      <c r="G18" s="9" t="s">
        <v>55</v>
      </c>
      <c r="H18" s="9" t="s">
        <v>55</v>
      </c>
      <c r="I18" s="9" t="s">
        <v>55</v>
      </c>
      <c r="J18" s="9" t="s">
        <v>55</v>
      </c>
      <c r="K18" s="29">
        <v>2</v>
      </c>
      <c r="L18" s="29">
        <v>4</v>
      </c>
      <c r="M18" s="29">
        <v>6</v>
      </c>
      <c r="N18" s="29">
        <v>8</v>
      </c>
      <c r="O18" s="29">
        <v>10</v>
      </c>
      <c r="P18" s="29">
        <v>10</v>
      </c>
      <c r="Q18" s="19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5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33"/>
  <sheetViews>
    <sheetView view="pageBreakPreview" topLeftCell="A10" zoomScale="80" zoomScaleSheetLayoutView="80" workbookViewId="0">
      <selection activeCell="E12" sqref="E12"/>
    </sheetView>
  </sheetViews>
  <sheetFormatPr defaultColWidth="9.140625" defaultRowHeight="15"/>
  <cols>
    <col min="1" max="1" width="5.28515625" style="106" customWidth="1"/>
    <col min="2" max="2" width="50.7109375" style="106" customWidth="1"/>
    <col min="3" max="3" width="19.140625" style="106" customWidth="1"/>
    <col min="4" max="4" width="14.140625" style="106" customWidth="1"/>
    <col min="5" max="5" width="13.5703125" style="106" customWidth="1"/>
    <col min="6" max="6" width="12.140625" style="106" customWidth="1"/>
    <col min="7" max="7" width="11.85546875" style="106" customWidth="1"/>
    <col min="8" max="8" width="14.5703125" style="106" customWidth="1"/>
    <col min="9" max="9" width="12" style="106" customWidth="1"/>
    <col min="10" max="10" width="14" style="106" customWidth="1"/>
    <col min="11" max="11" width="11.140625" style="8" customWidth="1"/>
    <col min="12" max="16384" width="9.140625" style="8"/>
  </cols>
  <sheetData>
    <row r="1" spans="1:12" s="3" customFormat="1" ht="15.75">
      <c r="A1" s="82" t="str">
        <f>HYPERLINK("#Оглавление!A1","Назад в оглавление")</f>
        <v>Назад в оглавление</v>
      </c>
      <c r="B1" s="85"/>
      <c r="C1" s="98"/>
      <c r="D1" s="98"/>
      <c r="E1" s="98"/>
      <c r="F1" s="98"/>
      <c r="G1" s="98"/>
      <c r="H1" s="98"/>
      <c r="I1" s="98"/>
      <c r="J1" s="98"/>
    </row>
    <row r="2" spans="1:12" ht="33" customHeight="1">
      <c r="A2" s="163" t="s">
        <v>187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1"/>
    </row>
    <row r="3" spans="1:12" ht="16.5" customHeight="1">
      <c r="A3" s="99"/>
      <c r="B3" s="99"/>
      <c r="C3" s="99"/>
      <c r="D3" s="99"/>
      <c r="E3" s="99"/>
      <c r="F3" s="99"/>
      <c r="G3" s="99"/>
      <c r="H3" s="99"/>
      <c r="I3" s="99"/>
      <c r="J3" s="99"/>
      <c r="K3" s="24"/>
      <c r="L3" s="11"/>
    </row>
    <row r="4" spans="1:12" ht="30.75" customHeight="1">
      <c r="A4" s="143" t="s">
        <v>0</v>
      </c>
      <c r="B4" s="143" t="s">
        <v>135</v>
      </c>
      <c r="C4" s="143" t="s">
        <v>5</v>
      </c>
      <c r="D4" s="143"/>
      <c r="E4" s="164" t="s">
        <v>154</v>
      </c>
      <c r="F4" s="164"/>
      <c r="G4" s="164"/>
      <c r="H4" s="164"/>
      <c r="I4" s="164"/>
      <c r="J4" s="164"/>
      <c r="K4" s="164"/>
    </row>
    <row r="5" spans="1:12" ht="30" customHeight="1">
      <c r="A5" s="143"/>
      <c r="B5" s="143"/>
      <c r="C5" s="100" t="s">
        <v>6</v>
      </c>
      <c r="D5" s="100" t="s">
        <v>7</v>
      </c>
      <c r="E5" s="100" t="s">
        <v>180</v>
      </c>
      <c r="F5" s="100" t="s">
        <v>181</v>
      </c>
      <c r="G5" s="100" t="s">
        <v>182</v>
      </c>
      <c r="H5" s="100" t="s">
        <v>183</v>
      </c>
      <c r="I5" s="100" t="s">
        <v>184</v>
      </c>
      <c r="J5" s="100" t="s">
        <v>185</v>
      </c>
      <c r="K5" s="77" t="s">
        <v>186</v>
      </c>
    </row>
    <row r="6" spans="1:12" ht="18" customHeight="1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7</v>
      </c>
      <c r="H6" s="101">
        <v>8</v>
      </c>
      <c r="I6" s="101">
        <v>9</v>
      </c>
      <c r="J6" s="101">
        <v>10</v>
      </c>
      <c r="K6" s="62">
        <v>11</v>
      </c>
    </row>
    <row r="7" spans="1:12" ht="36" customHeight="1">
      <c r="A7" s="100" t="s">
        <v>1</v>
      </c>
      <c r="B7" s="153" t="s">
        <v>155</v>
      </c>
      <c r="C7" s="154"/>
      <c r="D7" s="154"/>
      <c r="E7" s="154"/>
      <c r="F7" s="154"/>
      <c r="G7" s="154"/>
      <c r="H7" s="154"/>
      <c r="I7" s="154"/>
      <c r="J7" s="154"/>
      <c r="K7" s="155"/>
    </row>
    <row r="8" spans="1:12" ht="35.25" customHeight="1">
      <c r="A8" s="52"/>
      <c r="B8" s="102" t="s">
        <v>89</v>
      </c>
      <c r="C8" s="70">
        <f>SUM(C9:C30)-0.02</f>
        <v>279.64000000000004</v>
      </c>
      <c r="D8" s="21">
        <v>2022</v>
      </c>
      <c r="E8" s="70">
        <f>SUM(E9:E30)</f>
        <v>101.67399999999999</v>
      </c>
      <c r="F8" s="70">
        <f>SUM(F9:F30)</f>
        <v>67.454000000000008</v>
      </c>
      <c r="G8" s="70"/>
      <c r="H8" s="70"/>
      <c r="I8" s="70"/>
      <c r="J8" s="70"/>
      <c r="K8" s="26"/>
    </row>
    <row r="9" spans="1:12" ht="26.25" customHeight="1">
      <c r="A9" s="52" t="s">
        <v>8</v>
      </c>
      <c r="B9" s="25" t="s">
        <v>204</v>
      </c>
      <c r="C9" s="33">
        <v>2.17</v>
      </c>
      <c r="D9" s="52">
        <v>2022</v>
      </c>
      <c r="E9" s="48">
        <v>10.3</v>
      </c>
      <c r="F9" s="21"/>
      <c r="G9" s="21"/>
      <c r="H9" s="21"/>
      <c r="I9" s="21"/>
      <c r="J9" s="21"/>
      <c r="K9" s="36"/>
    </row>
    <row r="10" spans="1:12" ht="27.75" customHeight="1">
      <c r="A10" s="52" t="s">
        <v>12</v>
      </c>
      <c r="B10" s="25" t="s">
        <v>56</v>
      </c>
      <c r="C10" s="33">
        <v>8.8279999999999994</v>
      </c>
      <c r="D10" s="52">
        <v>2022</v>
      </c>
      <c r="E10" s="48">
        <v>17.148</v>
      </c>
      <c r="F10" s="48">
        <v>38.228999999999999</v>
      </c>
      <c r="G10" s="21"/>
      <c r="H10" s="21"/>
      <c r="I10" s="21"/>
      <c r="J10" s="21"/>
      <c r="K10" s="36"/>
    </row>
    <row r="11" spans="1:12" ht="36" customHeight="1">
      <c r="A11" s="52" t="s">
        <v>50</v>
      </c>
      <c r="B11" s="81" t="s">
        <v>76</v>
      </c>
      <c r="C11" s="33">
        <v>0.59799999999999998</v>
      </c>
      <c r="D11" s="52">
        <v>2022</v>
      </c>
      <c r="E11" s="48">
        <v>1.3919999999999999</v>
      </c>
      <c r="F11" s="48"/>
      <c r="G11" s="21"/>
      <c r="H11" s="21"/>
      <c r="I11" s="21"/>
      <c r="J11" s="21"/>
      <c r="K11" s="36"/>
    </row>
    <row r="12" spans="1:12" ht="36" customHeight="1">
      <c r="A12" s="52" t="s">
        <v>51</v>
      </c>
      <c r="B12" s="81" t="s">
        <v>210</v>
      </c>
      <c r="C12" s="33">
        <v>3.9849999999999999</v>
      </c>
      <c r="D12" s="52">
        <v>2022</v>
      </c>
      <c r="E12" s="48">
        <f>0.341+(1.25-0.57)+0.43+0.85</f>
        <v>2.3010000000000002</v>
      </c>
      <c r="F12" s="71">
        <f>4.266+3.41+0.857</f>
        <v>8.5329999999999995</v>
      </c>
      <c r="G12" s="21"/>
      <c r="H12" s="21"/>
      <c r="I12" s="21"/>
      <c r="J12" s="21"/>
      <c r="K12" s="36"/>
    </row>
    <row r="13" spans="1:12" ht="36" customHeight="1">
      <c r="A13" s="52" t="s">
        <v>58</v>
      </c>
      <c r="B13" s="25" t="s">
        <v>77</v>
      </c>
      <c r="C13" s="32">
        <v>33.860999999999997</v>
      </c>
      <c r="D13" s="52">
        <v>2022</v>
      </c>
      <c r="E13" s="31" t="s">
        <v>90</v>
      </c>
      <c r="F13" s="21"/>
      <c r="G13" s="21"/>
      <c r="H13" s="21"/>
      <c r="I13" s="21"/>
      <c r="J13" s="21"/>
      <c r="K13" s="36"/>
    </row>
    <row r="14" spans="1:12" ht="36" customHeight="1">
      <c r="A14" s="52" t="s">
        <v>59</v>
      </c>
      <c r="B14" s="25" t="s">
        <v>57</v>
      </c>
      <c r="C14" s="32">
        <v>21.495999999999999</v>
      </c>
      <c r="D14" s="52">
        <v>2022</v>
      </c>
      <c r="E14" s="48">
        <v>6.5810000000000013</v>
      </c>
      <c r="F14" s="21"/>
      <c r="G14" s="21"/>
      <c r="H14" s="21"/>
      <c r="I14" s="21"/>
      <c r="J14" s="21"/>
      <c r="K14" s="36"/>
    </row>
    <row r="15" spans="1:12" ht="36" customHeight="1">
      <c r="A15" s="52" t="s">
        <v>60</v>
      </c>
      <c r="B15" s="25" t="s">
        <v>206</v>
      </c>
      <c r="C15" s="32">
        <v>2.319</v>
      </c>
      <c r="D15" s="52">
        <v>2022</v>
      </c>
      <c r="E15" s="48">
        <v>3.54</v>
      </c>
      <c r="F15" s="21"/>
      <c r="G15" s="21"/>
      <c r="H15" s="21"/>
      <c r="I15" s="21"/>
      <c r="J15" s="21"/>
      <c r="K15" s="36"/>
    </row>
    <row r="16" spans="1:12" ht="36" customHeight="1">
      <c r="A16" s="52" t="s">
        <v>61</v>
      </c>
      <c r="B16" s="81" t="s">
        <v>78</v>
      </c>
      <c r="C16" s="32">
        <v>0.24</v>
      </c>
      <c r="D16" s="52">
        <v>2022</v>
      </c>
      <c r="E16" s="31" t="s">
        <v>90</v>
      </c>
      <c r="F16" s="21"/>
      <c r="G16" s="21"/>
      <c r="H16" s="21"/>
      <c r="I16" s="21"/>
      <c r="J16" s="21"/>
      <c r="K16" s="36"/>
    </row>
    <row r="17" spans="1:11" ht="36" customHeight="1">
      <c r="A17" s="52" t="s">
        <v>62</v>
      </c>
      <c r="B17" s="25" t="s">
        <v>79</v>
      </c>
      <c r="C17" s="32">
        <v>26.245999999999999</v>
      </c>
      <c r="D17" s="52">
        <v>2022</v>
      </c>
      <c r="E17" s="33">
        <v>2.9460000000000002</v>
      </c>
      <c r="F17" s="21"/>
      <c r="G17" s="21"/>
      <c r="H17" s="21"/>
      <c r="I17" s="21"/>
      <c r="J17" s="21"/>
      <c r="K17" s="36"/>
    </row>
    <row r="18" spans="1:11" ht="36" customHeight="1">
      <c r="A18" s="52" t="s">
        <v>63</v>
      </c>
      <c r="B18" s="81" t="s">
        <v>80</v>
      </c>
      <c r="C18" s="32">
        <v>10.768000000000001</v>
      </c>
      <c r="D18" s="52">
        <v>2022</v>
      </c>
      <c r="E18" s="33">
        <v>2.5720000000000001</v>
      </c>
      <c r="F18" s="21"/>
      <c r="G18" s="21"/>
      <c r="H18" s="21"/>
      <c r="I18" s="21"/>
      <c r="J18" s="21"/>
      <c r="K18" s="36"/>
    </row>
    <row r="19" spans="1:11" ht="36" customHeight="1">
      <c r="A19" s="52" t="s">
        <v>64</v>
      </c>
      <c r="B19" s="25" t="s">
        <v>81</v>
      </c>
      <c r="C19" s="32">
        <v>6.3150000000000004</v>
      </c>
      <c r="D19" s="52">
        <v>2022</v>
      </c>
      <c r="E19" s="32">
        <v>4.0289999999999999</v>
      </c>
      <c r="F19" s="21"/>
      <c r="G19" s="21"/>
      <c r="H19" s="21"/>
      <c r="I19" s="21"/>
      <c r="J19" s="21"/>
      <c r="K19" s="36"/>
    </row>
    <row r="20" spans="1:11" ht="36" customHeight="1">
      <c r="A20" s="52" t="s">
        <v>65</v>
      </c>
      <c r="B20" s="30" t="s">
        <v>82</v>
      </c>
      <c r="C20" s="32">
        <v>23.195</v>
      </c>
      <c r="D20" s="52">
        <v>2022</v>
      </c>
      <c r="E20" s="32">
        <v>0.94199999999999995</v>
      </c>
      <c r="F20" s="32">
        <v>19.584</v>
      </c>
      <c r="G20" s="21"/>
      <c r="H20" s="21"/>
      <c r="I20" s="21"/>
      <c r="J20" s="21"/>
      <c r="K20" s="36"/>
    </row>
    <row r="21" spans="1:11" ht="36" customHeight="1">
      <c r="A21" s="52" t="s">
        <v>66</v>
      </c>
      <c r="B21" s="25" t="s">
        <v>83</v>
      </c>
      <c r="C21" s="31" t="s">
        <v>90</v>
      </c>
      <c r="D21" s="52">
        <v>2022</v>
      </c>
      <c r="E21" s="48">
        <v>3.4420000000000002</v>
      </c>
      <c r="F21" s="21"/>
      <c r="G21" s="21"/>
      <c r="H21" s="21"/>
      <c r="I21" s="21"/>
      <c r="J21" s="21"/>
      <c r="K21" s="36"/>
    </row>
    <row r="22" spans="1:11" ht="36" customHeight="1">
      <c r="A22" s="52" t="s">
        <v>67</v>
      </c>
      <c r="B22" s="25" t="s">
        <v>205</v>
      </c>
      <c r="C22" s="32">
        <v>2.2749999999999999</v>
      </c>
      <c r="D22" s="52">
        <v>2022</v>
      </c>
      <c r="E22" s="33"/>
      <c r="F22" s="21"/>
      <c r="G22" s="21"/>
      <c r="H22" s="21"/>
      <c r="I22" s="21"/>
      <c r="J22" s="21"/>
      <c r="K22" s="36"/>
    </row>
    <row r="23" spans="1:11" ht="27.75" customHeight="1">
      <c r="A23" s="52" t="s">
        <v>68</v>
      </c>
      <c r="B23" s="30" t="s">
        <v>84</v>
      </c>
      <c r="C23" s="33">
        <v>10.484999999999999</v>
      </c>
      <c r="D23" s="52">
        <v>2022</v>
      </c>
      <c r="E23" s="72">
        <f>7.155+1.225</f>
        <v>8.3800000000000008</v>
      </c>
      <c r="F23" s="21"/>
      <c r="G23" s="21"/>
      <c r="H23" s="21"/>
      <c r="I23" s="21"/>
      <c r="J23" s="21"/>
      <c r="K23" s="36"/>
    </row>
    <row r="24" spans="1:11" ht="36" customHeight="1">
      <c r="A24" s="52" t="s">
        <v>69</v>
      </c>
      <c r="B24" s="25" t="s">
        <v>85</v>
      </c>
      <c r="C24" s="33"/>
      <c r="D24" s="52">
        <v>2022</v>
      </c>
      <c r="E24" s="48">
        <v>1.2070000000000001</v>
      </c>
      <c r="F24" s="21"/>
      <c r="G24" s="21"/>
      <c r="H24" s="21"/>
      <c r="I24" s="21"/>
      <c r="J24" s="21"/>
      <c r="K24" s="36"/>
    </row>
    <row r="25" spans="1:11" ht="36" customHeight="1">
      <c r="A25" s="52" t="s">
        <v>70</v>
      </c>
      <c r="B25" s="25" t="s">
        <v>86</v>
      </c>
      <c r="C25" s="33">
        <v>25.6</v>
      </c>
      <c r="D25" s="52">
        <v>2022</v>
      </c>
      <c r="E25" s="31" t="s">
        <v>90</v>
      </c>
      <c r="F25" s="21"/>
      <c r="G25" s="21"/>
      <c r="H25" s="21"/>
      <c r="I25" s="21"/>
      <c r="J25" s="21"/>
      <c r="K25" s="36"/>
    </row>
    <row r="26" spans="1:11" ht="36" customHeight="1">
      <c r="A26" s="52" t="s">
        <v>71</v>
      </c>
      <c r="B26" s="25" t="s">
        <v>87</v>
      </c>
      <c r="C26" s="33">
        <v>39.275000000000006</v>
      </c>
      <c r="D26" s="52">
        <v>2022</v>
      </c>
      <c r="E26" s="48">
        <f>13.45+5.325+0.801+1.237</f>
        <v>20.812999999999995</v>
      </c>
      <c r="F26" s="48">
        <v>1.1080000000000001</v>
      </c>
      <c r="G26" s="21"/>
      <c r="H26" s="21"/>
      <c r="I26" s="21"/>
      <c r="J26" s="21"/>
      <c r="K26" s="36"/>
    </row>
    <row r="27" spans="1:11" ht="36" customHeight="1">
      <c r="A27" s="52" t="s">
        <v>72</v>
      </c>
      <c r="B27" s="25" t="s">
        <v>88</v>
      </c>
      <c r="C27" s="32">
        <v>4.944</v>
      </c>
      <c r="D27" s="52">
        <v>2022</v>
      </c>
      <c r="E27" s="57"/>
      <c r="F27" s="21"/>
      <c r="G27" s="21"/>
      <c r="H27" s="21"/>
      <c r="I27" s="21"/>
      <c r="J27" s="21"/>
      <c r="K27" s="36"/>
    </row>
    <row r="28" spans="1:11" ht="27.75" customHeight="1">
      <c r="A28" s="52" t="s">
        <v>73</v>
      </c>
      <c r="B28" s="25" t="s">
        <v>207</v>
      </c>
      <c r="C28" s="32">
        <v>26.209</v>
      </c>
      <c r="D28" s="52">
        <v>2022</v>
      </c>
      <c r="E28" s="31" t="s">
        <v>90</v>
      </c>
      <c r="F28" s="21"/>
      <c r="G28" s="21"/>
      <c r="H28" s="21"/>
      <c r="I28" s="21"/>
      <c r="J28" s="21"/>
      <c r="K28" s="36"/>
    </row>
    <row r="29" spans="1:11" ht="29.25" customHeight="1">
      <c r="A29" s="52" t="s">
        <v>74</v>
      </c>
      <c r="B29" s="30" t="s">
        <v>208</v>
      </c>
      <c r="C29" s="32">
        <v>2.2999999999999998</v>
      </c>
      <c r="D29" s="52">
        <v>2022</v>
      </c>
      <c r="E29" s="72">
        <v>5.101</v>
      </c>
      <c r="F29" s="21"/>
      <c r="G29" s="21"/>
      <c r="H29" s="21"/>
      <c r="I29" s="21"/>
      <c r="J29" s="21"/>
      <c r="K29" s="36"/>
    </row>
    <row r="30" spans="1:11" ht="28.5" customHeight="1">
      <c r="A30" s="52" t="s">
        <v>75</v>
      </c>
      <c r="B30" s="30" t="s">
        <v>54</v>
      </c>
      <c r="C30" s="32">
        <v>28.550999999999998</v>
      </c>
      <c r="D30" s="52">
        <v>2022</v>
      </c>
      <c r="E30" s="32">
        <v>10.979999999999999</v>
      </c>
      <c r="F30" s="32"/>
      <c r="G30" s="21"/>
      <c r="H30" s="21"/>
      <c r="I30" s="21"/>
      <c r="J30" s="21"/>
      <c r="K30" s="36"/>
    </row>
    <row r="31" spans="1:11" ht="15" customHeight="1">
      <c r="A31" s="103"/>
      <c r="B31" s="39"/>
      <c r="C31" s="40"/>
      <c r="D31" s="95"/>
      <c r="E31" s="40"/>
      <c r="F31" s="95"/>
      <c r="G31" s="95"/>
      <c r="H31" s="95"/>
      <c r="I31" s="95"/>
      <c r="J31" s="95"/>
      <c r="K31" s="18"/>
    </row>
    <row r="32" spans="1:11" ht="24.75" customHeight="1">
      <c r="A32" s="104" t="s">
        <v>115</v>
      </c>
      <c r="B32" s="162" t="s">
        <v>188</v>
      </c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ht="15" customHeight="1">
      <c r="A33" s="103"/>
      <c r="B33" s="105"/>
      <c r="C33" s="95"/>
      <c r="D33" s="95"/>
      <c r="E33" s="95"/>
      <c r="F33" s="95"/>
      <c r="G33" s="95"/>
      <c r="H33" s="95"/>
      <c r="I33" s="95"/>
      <c r="J33" s="95"/>
      <c r="K33" s="18"/>
    </row>
  </sheetData>
  <mergeCells count="7">
    <mergeCell ref="B32:K32"/>
    <mergeCell ref="A2:K2"/>
    <mergeCell ref="A4:A5"/>
    <mergeCell ref="B4:B5"/>
    <mergeCell ref="C4:D4"/>
    <mergeCell ref="E4:K4"/>
    <mergeCell ref="B7:K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5" firstPageNumber="3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A33"/>
  <sheetViews>
    <sheetView view="pageBreakPreview" zoomScale="80" zoomScaleSheetLayoutView="80" workbookViewId="0">
      <selection activeCell="V8" sqref="V8"/>
    </sheetView>
  </sheetViews>
  <sheetFormatPr defaultColWidth="9.140625" defaultRowHeight="15"/>
  <cols>
    <col min="1" max="1" width="7.85546875" style="114" customWidth="1"/>
    <col min="2" max="2" width="33.42578125" style="116" customWidth="1"/>
    <col min="3" max="3" width="16.7109375" style="116" customWidth="1"/>
    <col min="4" max="4" width="12.28515625" style="116" customWidth="1"/>
    <col min="5" max="5" width="9.5703125" style="116" customWidth="1"/>
    <col min="6" max="6" width="7.85546875" style="116" customWidth="1"/>
    <col min="7" max="7" width="8.42578125" style="116" customWidth="1"/>
    <col min="8" max="8" width="7.5703125" style="116" customWidth="1"/>
    <col min="9" max="13" width="9.140625" style="116"/>
    <col min="14" max="14" width="49.85546875" style="116" customWidth="1"/>
    <col min="15" max="16384" width="9.140625" style="6"/>
  </cols>
  <sheetData>
    <row r="1" spans="1:22" s="1" customFormat="1" ht="15.75">
      <c r="A1" s="82" t="str">
        <f>HYPERLINK("#Оглавление!A1","Назад в оглавление")</f>
        <v>Назад в оглавление</v>
      </c>
      <c r="B1" s="10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22" ht="26.25" customHeight="1">
      <c r="A2" s="171" t="s">
        <v>193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22" ht="17.25" customHeight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22" ht="43.5" customHeight="1">
      <c r="A4" s="144" t="s">
        <v>0</v>
      </c>
      <c r="B4" s="144" t="s">
        <v>20</v>
      </c>
      <c r="C4" s="144" t="s">
        <v>19</v>
      </c>
      <c r="D4" s="144" t="s">
        <v>4</v>
      </c>
      <c r="E4" s="144" t="s">
        <v>5</v>
      </c>
      <c r="F4" s="144"/>
      <c r="G4" s="144" t="s">
        <v>136</v>
      </c>
      <c r="H4" s="144"/>
      <c r="I4" s="144"/>
      <c r="J4" s="144"/>
      <c r="K4" s="144"/>
      <c r="L4" s="144"/>
      <c r="M4" s="144"/>
      <c r="N4" s="144" t="s">
        <v>18</v>
      </c>
    </row>
    <row r="5" spans="1:22" ht="39.75" customHeight="1">
      <c r="A5" s="144"/>
      <c r="B5" s="144"/>
      <c r="C5" s="144"/>
      <c r="D5" s="144"/>
      <c r="E5" s="88" t="s">
        <v>6</v>
      </c>
      <c r="F5" s="88" t="s">
        <v>7</v>
      </c>
      <c r="G5" s="88">
        <v>2024</v>
      </c>
      <c r="H5" s="88">
        <v>2025</v>
      </c>
      <c r="I5" s="88">
        <v>2026</v>
      </c>
      <c r="J5" s="88">
        <v>2027</v>
      </c>
      <c r="K5" s="88">
        <v>2028</v>
      </c>
      <c r="L5" s="88">
        <v>2029</v>
      </c>
      <c r="M5" s="88">
        <v>2030</v>
      </c>
      <c r="N5" s="144"/>
    </row>
    <row r="6" spans="1:22" ht="22.5" customHeight="1">
      <c r="A6" s="109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  <c r="G6" s="88">
        <v>7</v>
      </c>
      <c r="H6" s="88">
        <v>8</v>
      </c>
      <c r="I6" s="88">
        <v>9</v>
      </c>
      <c r="J6" s="88">
        <v>10</v>
      </c>
      <c r="K6" s="88">
        <v>11</v>
      </c>
      <c r="L6" s="88">
        <v>12</v>
      </c>
      <c r="M6" s="88">
        <v>13</v>
      </c>
      <c r="N6" s="88">
        <v>14</v>
      </c>
    </row>
    <row r="7" spans="1:22" ht="28.5" customHeight="1">
      <c r="A7" s="109" t="s">
        <v>1</v>
      </c>
      <c r="B7" s="168" t="s">
        <v>156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70"/>
    </row>
    <row r="8" spans="1:22" ht="111.75" customHeight="1">
      <c r="A8" s="110" t="s">
        <v>8</v>
      </c>
      <c r="B8" s="111" t="s">
        <v>148</v>
      </c>
      <c r="C8" s="69" t="s">
        <v>190</v>
      </c>
      <c r="D8" s="60" t="s">
        <v>177</v>
      </c>
      <c r="E8" s="50">
        <v>6339.9</v>
      </c>
      <c r="F8" s="60">
        <v>2022</v>
      </c>
      <c r="G8" s="50">
        <v>6359</v>
      </c>
      <c r="H8" s="50">
        <v>6359</v>
      </c>
      <c r="I8" s="50">
        <v>6359</v>
      </c>
      <c r="J8" s="50">
        <v>6359</v>
      </c>
      <c r="K8" s="50">
        <v>6359</v>
      </c>
      <c r="L8" s="50">
        <v>6359</v>
      </c>
      <c r="M8" s="50">
        <v>6359</v>
      </c>
      <c r="N8" s="69" t="s">
        <v>189</v>
      </c>
      <c r="V8" s="6" t="s">
        <v>44</v>
      </c>
    </row>
    <row r="9" spans="1:22" ht="31.5" customHeight="1">
      <c r="A9" s="52" t="s">
        <v>158</v>
      </c>
      <c r="B9" s="165" t="s">
        <v>161</v>
      </c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7"/>
    </row>
    <row r="10" spans="1:22" ht="112.5" customHeight="1">
      <c r="A10" s="52" t="s">
        <v>12</v>
      </c>
      <c r="B10" s="112" t="s">
        <v>47</v>
      </c>
      <c r="C10" s="69" t="s">
        <v>190</v>
      </c>
      <c r="D10" s="60" t="s">
        <v>177</v>
      </c>
      <c r="E10" s="113">
        <v>88</v>
      </c>
      <c r="F10" s="60">
        <v>2022</v>
      </c>
      <c r="G10" s="113">
        <f>56.1</f>
        <v>56.1</v>
      </c>
      <c r="H10" s="113">
        <v>60.564000000000007</v>
      </c>
      <c r="I10" s="113">
        <v>99.1</v>
      </c>
      <c r="J10" s="113">
        <v>167.2</v>
      </c>
      <c r="K10" s="113">
        <v>176.7</v>
      </c>
      <c r="L10" s="113">
        <v>182</v>
      </c>
      <c r="M10" s="113">
        <v>187</v>
      </c>
      <c r="N10" s="69" t="s">
        <v>189</v>
      </c>
      <c r="O10" s="132">
        <f>SUM(G10:M10)</f>
        <v>928.66399999999999</v>
      </c>
      <c r="R10" s="6" t="s">
        <v>123</v>
      </c>
    </row>
    <row r="11" spans="1:22" ht="36.75" customHeight="1">
      <c r="A11" s="52" t="s">
        <v>159</v>
      </c>
      <c r="B11" s="165" t="s">
        <v>198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7"/>
    </row>
    <row r="12" spans="1:22" ht="112.5" customHeight="1">
      <c r="A12" s="52" t="s">
        <v>50</v>
      </c>
      <c r="B12" s="112" t="s">
        <v>48</v>
      </c>
      <c r="C12" s="69" t="s">
        <v>157</v>
      </c>
      <c r="D12" s="60" t="s">
        <v>177</v>
      </c>
      <c r="E12" s="52">
        <v>285.8</v>
      </c>
      <c r="F12" s="60">
        <v>2022</v>
      </c>
      <c r="G12" s="113">
        <v>100.581</v>
      </c>
      <c r="H12" s="113">
        <v>67.454000000000008</v>
      </c>
      <c r="I12" s="52" t="s">
        <v>55</v>
      </c>
      <c r="J12" s="52" t="s">
        <v>55</v>
      </c>
      <c r="K12" s="52" t="s">
        <v>55</v>
      </c>
      <c r="L12" s="52" t="s">
        <v>55</v>
      </c>
      <c r="M12" s="52" t="s">
        <v>55</v>
      </c>
      <c r="N12" s="69" t="s">
        <v>189</v>
      </c>
      <c r="O12" s="132">
        <f>SUM(G12:H12)</f>
        <v>168.03500000000003</v>
      </c>
      <c r="T12" s="6" t="s">
        <v>123</v>
      </c>
      <c r="U12" s="6" t="s">
        <v>44</v>
      </c>
    </row>
    <row r="13" spans="1:22" ht="86.25" customHeight="1">
      <c r="A13" s="52" t="s">
        <v>160</v>
      </c>
      <c r="B13" s="165" t="s">
        <v>209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7"/>
    </row>
    <row r="14" spans="1:22" ht="102.75" customHeight="1">
      <c r="A14" s="52" t="s">
        <v>51</v>
      </c>
      <c r="B14" s="112" t="s">
        <v>172</v>
      </c>
      <c r="C14" s="69" t="s">
        <v>190</v>
      </c>
      <c r="D14" s="52" t="s">
        <v>192</v>
      </c>
      <c r="E14" s="52">
        <v>9</v>
      </c>
      <c r="F14" s="60">
        <v>2022</v>
      </c>
      <c r="G14" s="113" t="s">
        <v>55</v>
      </c>
      <c r="H14" s="113" t="s">
        <v>55</v>
      </c>
      <c r="I14" s="52">
        <v>4</v>
      </c>
      <c r="J14" s="52">
        <v>2</v>
      </c>
      <c r="K14" s="52">
        <v>1</v>
      </c>
      <c r="L14" s="52">
        <v>1</v>
      </c>
      <c r="M14" s="52">
        <v>1</v>
      </c>
      <c r="N14" s="69" t="s">
        <v>189</v>
      </c>
      <c r="P14" s="6" t="s">
        <v>122</v>
      </c>
    </row>
    <row r="15" spans="1:22" ht="34.5" customHeight="1">
      <c r="A15" s="52" t="s">
        <v>162</v>
      </c>
      <c r="B15" s="165" t="s">
        <v>163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7"/>
    </row>
    <row r="16" spans="1:22" ht="111.75" hidden="1" customHeight="1">
      <c r="B16" s="112" t="s">
        <v>171</v>
      </c>
      <c r="C16" s="69" t="s">
        <v>157</v>
      </c>
      <c r="D16" s="52" t="s">
        <v>192</v>
      </c>
      <c r="E16" s="52">
        <v>2</v>
      </c>
      <c r="F16" s="60">
        <v>2022</v>
      </c>
      <c r="G16" s="52" t="s">
        <v>55</v>
      </c>
      <c r="H16" s="52" t="s">
        <v>55</v>
      </c>
      <c r="I16" s="52" t="s">
        <v>55</v>
      </c>
      <c r="J16" s="52" t="s">
        <v>55</v>
      </c>
      <c r="K16" s="52" t="s">
        <v>55</v>
      </c>
      <c r="L16" s="52" t="s">
        <v>55</v>
      </c>
      <c r="M16" s="52" t="s">
        <v>55</v>
      </c>
      <c r="N16" s="69" t="s">
        <v>189</v>
      </c>
      <c r="S16" s="6" t="s">
        <v>44</v>
      </c>
    </row>
    <row r="17" spans="1:27" ht="85.5" hidden="1" customHeight="1">
      <c r="B17" s="165" t="s">
        <v>196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7"/>
    </row>
    <row r="18" spans="1:27" ht="136.5" customHeight="1">
      <c r="A18" s="52" t="s">
        <v>58</v>
      </c>
      <c r="B18" s="112" t="s">
        <v>99</v>
      </c>
      <c r="C18" s="69" t="s">
        <v>190</v>
      </c>
      <c r="D18" s="60" t="s">
        <v>177</v>
      </c>
      <c r="E18" s="60" t="s">
        <v>90</v>
      </c>
      <c r="F18" s="60">
        <v>2022</v>
      </c>
      <c r="G18" s="52" t="s">
        <v>55</v>
      </c>
      <c r="H18" s="52">
        <v>1.5</v>
      </c>
      <c r="I18" s="133" t="s">
        <v>55</v>
      </c>
      <c r="J18" s="52" t="s">
        <v>55</v>
      </c>
      <c r="K18" s="113">
        <v>3</v>
      </c>
      <c r="L18" s="113">
        <v>3</v>
      </c>
      <c r="M18" s="113">
        <v>3</v>
      </c>
      <c r="N18" s="69" t="s">
        <v>189</v>
      </c>
      <c r="O18" s="132">
        <f>SUM(K18:M18)</f>
        <v>9</v>
      </c>
    </row>
    <row r="19" spans="1:27" ht="34.5" customHeight="1">
      <c r="A19" s="52" t="s">
        <v>164</v>
      </c>
      <c r="B19" s="165" t="s">
        <v>197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7"/>
    </row>
    <row r="20" spans="1:27" ht="113.25" customHeight="1">
      <c r="A20" s="52" t="s">
        <v>59</v>
      </c>
      <c r="B20" s="112" t="s">
        <v>153</v>
      </c>
      <c r="C20" s="69" t="s">
        <v>190</v>
      </c>
      <c r="D20" s="60" t="s">
        <v>177</v>
      </c>
      <c r="E20" s="60">
        <v>3.1</v>
      </c>
      <c r="F20" s="60">
        <v>2022</v>
      </c>
      <c r="G20" s="134" t="s">
        <v>55</v>
      </c>
      <c r="H20" s="52">
        <v>5.0999999999999996</v>
      </c>
      <c r="I20" s="52">
        <v>34.200000000000003</v>
      </c>
      <c r="J20" s="52">
        <v>46.4</v>
      </c>
      <c r="K20" s="113">
        <v>50</v>
      </c>
      <c r="L20" s="113">
        <v>50</v>
      </c>
      <c r="M20" s="113">
        <v>50</v>
      </c>
      <c r="N20" s="69" t="s">
        <v>189</v>
      </c>
      <c r="AA20" s="6" t="s">
        <v>44</v>
      </c>
    </row>
    <row r="21" spans="1:27" ht="37.5" customHeight="1">
      <c r="A21" s="52" t="s">
        <v>165</v>
      </c>
      <c r="B21" s="165" t="s">
        <v>199</v>
      </c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7"/>
    </row>
    <row r="22" spans="1:27" ht="183" hidden="1" customHeight="1">
      <c r="A22" s="52" t="s">
        <v>61</v>
      </c>
      <c r="B22" s="112" t="s">
        <v>100</v>
      </c>
      <c r="C22" s="69" t="s">
        <v>41</v>
      </c>
      <c r="D22" s="60" t="s">
        <v>94</v>
      </c>
      <c r="E22" s="60" t="s">
        <v>90</v>
      </c>
      <c r="F22" s="60">
        <v>2022</v>
      </c>
      <c r="G22" s="115" t="s">
        <v>90</v>
      </c>
      <c r="H22" s="115" t="s">
        <v>90</v>
      </c>
      <c r="I22" s="115" t="s">
        <v>90</v>
      </c>
      <c r="J22" s="115" t="s">
        <v>90</v>
      </c>
      <c r="K22" s="115" t="s">
        <v>90</v>
      </c>
      <c r="L22" s="115" t="s">
        <v>90</v>
      </c>
      <c r="M22" s="115" t="s">
        <v>90</v>
      </c>
      <c r="N22" s="69" t="s">
        <v>170</v>
      </c>
    </row>
    <row r="23" spans="1:27" ht="35.25" hidden="1" customHeight="1">
      <c r="A23" s="52" t="s">
        <v>167</v>
      </c>
      <c r="B23" s="165" t="s">
        <v>168</v>
      </c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7"/>
    </row>
    <row r="24" spans="1:27" ht="126.75" customHeight="1">
      <c r="A24" s="52" t="s">
        <v>60</v>
      </c>
      <c r="B24" s="112" t="s">
        <v>191</v>
      </c>
      <c r="C24" s="69" t="s">
        <v>190</v>
      </c>
      <c r="D24" s="52" t="s">
        <v>192</v>
      </c>
      <c r="E24" s="52">
        <v>10</v>
      </c>
      <c r="F24" s="60">
        <v>2022</v>
      </c>
      <c r="G24" s="52">
        <v>10</v>
      </c>
      <c r="H24" s="52">
        <v>10</v>
      </c>
      <c r="I24" s="52">
        <v>10</v>
      </c>
      <c r="J24" s="52">
        <v>10</v>
      </c>
      <c r="K24" s="52">
        <v>10</v>
      </c>
      <c r="L24" s="52">
        <v>10</v>
      </c>
      <c r="M24" s="52">
        <v>10</v>
      </c>
      <c r="N24" s="69" t="s">
        <v>189</v>
      </c>
      <c r="O24" s="20"/>
      <c r="P24" s="20"/>
      <c r="Q24" s="20"/>
    </row>
    <row r="25" spans="1:27" ht="30.75" customHeight="1">
      <c r="A25" s="52" t="s">
        <v>166</v>
      </c>
      <c r="B25" s="165" t="s">
        <v>169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7"/>
      <c r="O25" s="12"/>
      <c r="P25" s="12"/>
      <c r="Q25" s="20"/>
    </row>
    <row r="26" spans="1:27">
      <c r="O26" s="20"/>
      <c r="P26" s="20"/>
      <c r="Q26" s="20"/>
    </row>
    <row r="33" spans="24:24">
      <c r="X33" s="6" t="s">
        <v>123</v>
      </c>
    </row>
  </sheetData>
  <mergeCells count="18">
    <mergeCell ref="A2:N2"/>
    <mergeCell ref="A4:A5"/>
    <mergeCell ref="B4:B5"/>
    <mergeCell ref="C4:C5"/>
    <mergeCell ref="D4:D5"/>
    <mergeCell ref="E4:F4"/>
    <mergeCell ref="G4:M4"/>
    <mergeCell ref="N4:N5"/>
    <mergeCell ref="B19:N19"/>
    <mergeCell ref="B21:N21"/>
    <mergeCell ref="B23:N23"/>
    <mergeCell ref="B25:N25"/>
    <mergeCell ref="B7:N7"/>
    <mergeCell ref="B9:N9"/>
    <mergeCell ref="B11:N11"/>
    <mergeCell ref="B13:N13"/>
    <mergeCell ref="B15:N15"/>
    <mergeCell ref="B17:N17"/>
  </mergeCells>
  <printOptions horizontalCentered="1"/>
  <pageMargins left="0.39370078740157483" right="0.59055118110236227" top="0.59055118110236227" bottom="0.59055118110236227" header="0.31496062992125984" footer="0.31496062992125984"/>
  <pageSetup paperSize="9" scale="65" firstPageNumber="38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X141"/>
  <sheetViews>
    <sheetView tabSelected="1" view="pageBreakPreview" zoomScale="80" zoomScaleNormal="90" zoomScaleSheetLayoutView="80" workbookViewId="0">
      <pane xSplit="3" ySplit="45" topLeftCell="D102" activePane="bottomRight" state="frozen"/>
      <selection pane="topRight" activeCell="D1" sqref="D1"/>
      <selection pane="bottomLeft" activeCell="A46" sqref="A46"/>
      <selection pane="bottomRight" activeCell="K113" sqref="K113"/>
    </sheetView>
  </sheetViews>
  <sheetFormatPr defaultColWidth="9.140625" defaultRowHeight="15"/>
  <cols>
    <col min="1" max="1" width="7.7109375" style="116" customWidth="1"/>
    <col min="2" max="2" width="37.140625" style="116" hidden="1" customWidth="1"/>
    <col min="3" max="3" width="64.42578125" style="116" customWidth="1"/>
    <col min="4" max="4" width="6" style="116" customWidth="1"/>
    <col min="5" max="5" width="8.42578125" style="116" customWidth="1"/>
    <col min="6" max="6" width="13.85546875" style="116" customWidth="1"/>
    <col min="7" max="7" width="5.7109375" style="116" customWidth="1"/>
    <col min="8" max="8" width="11.28515625" style="116" customWidth="1"/>
    <col min="9" max="9" width="12.28515625" style="116" customWidth="1"/>
    <col min="10" max="10" width="13.140625" style="116" customWidth="1"/>
    <col min="11" max="11" width="12.7109375" style="116" customWidth="1"/>
    <col min="12" max="12" width="12.140625" style="116" customWidth="1"/>
    <col min="13" max="13" width="13" style="116" customWidth="1"/>
    <col min="14" max="14" width="13.140625" style="116" customWidth="1"/>
    <col min="15" max="15" width="13" style="116" customWidth="1"/>
    <col min="16" max="16" width="12.42578125" style="6" bestFit="1" customWidth="1"/>
    <col min="17" max="17" width="13.85546875" style="6" customWidth="1"/>
    <col min="18" max="18" width="9.140625" style="6"/>
    <col min="19" max="19" width="11.42578125" style="6" customWidth="1"/>
    <col min="20" max="20" width="11.42578125" style="6" bestFit="1" customWidth="1"/>
    <col min="21" max="21" width="12.42578125" style="6" bestFit="1" customWidth="1"/>
    <col min="22" max="22" width="11.42578125" style="6" bestFit="1" customWidth="1"/>
    <col min="23" max="23" width="12.42578125" style="6" bestFit="1" customWidth="1"/>
    <col min="24" max="24" width="11.42578125" style="6" bestFit="1" customWidth="1"/>
    <col min="25" max="16384" width="9.140625" style="6"/>
  </cols>
  <sheetData>
    <row r="1" spans="1:19" s="1" customFormat="1" ht="15.75">
      <c r="A1" s="82" t="str">
        <f>HYPERLINK("#Оглавление!A1","Назад в оглавление")</f>
        <v>Назад в оглавление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9" ht="18.75">
      <c r="A2" s="199" t="s">
        <v>194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0"/>
      <c r="Q2" s="10"/>
      <c r="R2" s="10"/>
      <c r="S2" s="10"/>
    </row>
    <row r="3" spans="1:19" ht="21.75" hidden="1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0"/>
      <c r="Q3" s="10"/>
      <c r="R3" s="10"/>
      <c r="S3" s="10"/>
    </row>
    <row r="4" spans="1:19" ht="25.5" hidden="1" customHeight="1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1" t="s">
        <v>24</v>
      </c>
    </row>
    <row r="5" spans="1:19" ht="24" hidden="1" customHeight="1">
      <c r="A5" s="200" t="s">
        <v>0</v>
      </c>
      <c r="B5" s="200" t="s">
        <v>20</v>
      </c>
      <c r="C5" s="200" t="s">
        <v>2</v>
      </c>
      <c r="D5" s="201" t="s">
        <v>120</v>
      </c>
      <c r="E5" s="202"/>
      <c r="F5" s="202"/>
      <c r="G5" s="203"/>
      <c r="H5" s="200" t="s">
        <v>14</v>
      </c>
      <c r="I5" s="200"/>
      <c r="J5" s="200"/>
      <c r="K5" s="200"/>
      <c r="L5" s="200"/>
      <c r="M5" s="200"/>
      <c r="N5" s="200"/>
      <c r="O5" s="200"/>
    </row>
    <row r="6" spans="1:19" ht="24.75" hidden="1" customHeight="1">
      <c r="A6" s="200"/>
      <c r="B6" s="200"/>
      <c r="C6" s="200"/>
      <c r="D6" s="204" t="s">
        <v>121</v>
      </c>
      <c r="E6" s="205"/>
      <c r="F6" s="205"/>
      <c r="G6" s="206"/>
      <c r="H6" s="52">
        <v>2024</v>
      </c>
      <c r="I6" s="52">
        <v>2025</v>
      </c>
      <c r="J6" s="52">
        <v>2026</v>
      </c>
      <c r="K6" s="52">
        <v>2027</v>
      </c>
      <c r="L6" s="52">
        <v>2028</v>
      </c>
      <c r="M6" s="52">
        <v>2029</v>
      </c>
      <c r="N6" s="52">
        <v>2030</v>
      </c>
      <c r="O6" s="52" t="s">
        <v>13</v>
      </c>
    </row>
    <row r="7" spans="1:19" ht="20.25" hidden="1" customHeight="1">
      <c r="A7" s="52">
        <v>1</v>
      </c>
      <c r="B7" s="52">
        <v>2</v>
      </c>
      <c r="C7" s="52">
        <v>3</v>
      </c>
      <c r="D7" s="52"/>
      <c r="E7" s="52"/>
      <c r="F7" s="52"/>
      <c r="G7" s="52"/>
      <c r="H7" s="52">
        <v>4</v>
      </c>
      <c r="I7" s="52">
        <v>5</v>
      </c>
      <c r="J7" s="52">
        <v>6</v>
      </c>
      <c r="K7" s="52">
        <v>7</v>
      </c>
      <c r="L7" s="52">
        <v>8</v>
      </c>
      <c r="M7" s="52">
        <v>9</v>
      </c>
      <c r="N7" s="53">
        <v>10</v>
      </c>
      <c r="O7" s="52">
        <v>11</v>
      </c>
    </row>
    <row r="8" spans="1:19" ht="24" hidden="1" customHeight="1">
      <c r="A8" s="151"/>
      <c r="B8" s="193" t="s">
        <v>124</v>
      </c>
      <c r="C8" s="49" t="s">
        <v>25</v>
      </c>
      <c r="D8" s="49"/>
      <c r="E8" s="49"/>
      <c r="F8" s="49"/>
      <c r="G8" s="49"/>
      <c r="H8" s="50">
        <f>H12+H17+H20+H24+H27+H31+H34+H38</f>
        <v>6728563.0000000009</v>
      </c>
      <c r="I8" s="50">
        <f>I12+I17+I20+I24+I27+I31+I34+I38+I37</f>
        <v>9278754.1999999993</v>
      </c>
      <c r="J8" s="50">
        <f>J12+J17+J20+J24+J27+J31+J34+J38</f>
        <v>12005706.5</v>
      </c>
      <c r="K8" s="50">
        <f>K12+K17+K20+K24+K27+K31+K34+K38</f>
        <v>11605000</v>
      </c>
      <c r="L8" s="50">
        <f>L12+L17+L20+L24+L27+L31+L34+L38</f>
        <v>12105000</v>
      </c>
      <c r="M8" s="50">
        <f>M12+M17+M20+M24+M27+M31+M34+M38</f>
        <v>12405000</v>
      </c>
      <c r="N8" s="51">
        <f>N12+N17+N20+N24+N27+N31+N34+N38</f>
        <v>12705000</v>
      </c>
      <c r="O8" s="50">
        <f>SUM(H8:N8)</f>
        <v>76833023.700000003</v>
      </c>
      <c r="S8" s="44">
        <f>I10-I8</f>
        <v>0</v>
      </c>
    </row>
    <row r="9" spans="1:19" ht="28.5" hidden="1" customHeight="1">
      <c r="A9" s="176"/>
      <c r="B9" s="194"/>
      <c r="C9" s="49" t="s">
        <v>26</v>
      </c>
      <c r="D9" s="49"/>
      <c r="E9" s="49"/>
      <c r="F9" s="49"/>
      <c r="G9" s="49"/>
      <c r="H9" s="50">
        <f t="shared" ref="H9:N9" si="0">H13+H18+H25+H32</f>
        <v>0</v>
      </c>
      <c r="I9" s="50">
        <f t="shared" si="0"/>
        <v>0</v>
      </c>
      <c r="J9" s="50">
        <f t="shared" si="0"/>
        <v>0</v>
      </c>
      <c r="K9" s="50">
        <f t="shared" si="0"/>
        <v>0</v>
      </c>
      <c r="L9" s="50">
        <f t="shared" si="0"/>
        <v>0</v>
      </c>
      <c r="M9" s="50">
        <f t="shared" si="0"/>
        <v>0</v>
      </c>
      <c r="N9" s="51">
        <f t="shared" si="0"/>
        <v>0</v>
      </c>
      <c r="O9" s="50">
        <f t="shared" ref="O9:O11" si="1">SUM(H9:N9)</f>
        <v>0</v>
      </c>
    </row>
    <row r="10" spans="1:19" ht="24" hidden="1" customHeight="1">
      <c r="A10" s="176"/>
      <c r="B10" s="194"/>
      <c r="C10" s="49" t="s">
        <v>27</v>
      </c>
      <c r="D10" s="49"/>
      <c r="E10" s="49"/>
      <c r="F10" s="49"/>
      <c r="G10" s="49"/>
      <c r="H10" s="50">
        <f>H12+H19+H22+H26+H29+H33+H35+H39</f>
        <v>6635000.5000000009</v>
      </c>
      <c r="I10" s="50">
        <f>I12+I19+I22+I26+I29+I33+I35+I39+I37</f>
        <v>9278754.1999999993</v>
      </c>
      <c r="J10" s="50">
        <f>J12+J19+J22+J26+J29+J33+J35+J39</f>
        <v>12005706.5</v>
      </c>
      <c r="K10" s="50">
        <f>K12+K19+K22+K26+K29+K33+K35+K39</f>
        <v>11605000</v>
      </c>
      <c r="L10" s="50">
        <f>L12+L19+L22+L26+L29+L33+L35+L39</f>
        <v>12105000</v>
      </c>
      <c r="M10" s="50">
        <f>M12+M19+M22+M26+M29+M33+M35+M39</f>
        <v>12405000</v>
      </c>
      <c r="N10" s="51">
        <f>N12+N19+N22+N26+N29+N33+N35+N39</f>
        <v>12705000</v>
      </c>
      <c r="O10" s="50">
        <f t="shared" si="1"/>
        <v>76739461.200000003</v>
      </c>
    </row>
    <row r="11" spans="1:19" ht="36" hidden="1" customHeight="1">
      <c r="A11" s="152"/>
      <c r="B11" s="195"/>
      <c r="C11" s="49" t="s">
        <v>53</v>
      </c>
      <c r="D11" s="49"/>
      <c r="E11" s="49"/>
      <c r="F11" s="49"/>
      <c r="G11" s="49"/>
      <c r="H11" s="50">
        <f>H23+H30</f>
        <v>93562.5</v>
      </c>
      <c r="I11" s="50">
        <f t="shared" ref="I11:N11" si="2">I23+I30</f>
        <v>0</v>
      </c>
      <c r="J11" s="50">
        <f t="shared" si="2"/>
        <v>0</v>
      </c>
      <c r="K11" s="50">
        <f t="shared" si="2"/>
        <v>0</v>
      </c>
      <c r="L11" s="50">
        <f t="shared" si="2"/>
        <v>0</v>
      </c>
      <c r="M11" s="50">
        <f t="shared" si="2"/>
        <v>0</v>
      </c>
      <c r="N11" s="51">
        <f t="shared" si="2"/>
        <v>0</v>
      </c>
      <c r="O11" s="50">
        <f t="shared" si="1"/>
        <v>93562.5</v>
      </c>
    </row>
    <row r="12" spans="1:19" ht="24" hidden="1" customHeight="1">
      <c r="A12" s="52" t="s">
        <v>1</v>
      </c>
      <c r="B12" s="193" t="s">
        <v>148</v>
      </c>
      <c r="C12" s="49" t="s">
        <v>25</v>
      </c>
      <c r="D12" s="49"/>
      <c r="E12" s="49"/>
      <c r="F12" s="49"/>
      <c r="G12" s="49"/>
      <c r="H12" s="50">
        <f t="shared" ref="H12:N12" si="3">SUM(H14:H16)</f>
        <v>4004310</v>
      </c>
      <c r="I12" s="50">
        <f t="shared" si="3"/>
        <v>4174000</v>
      </c>
      <c r="J12" s="50">
        <f t="shared" si="3"/>
        <v>4300000</v>
      </c>
      <c r="K12" s="50">
        <f t="shared" si="3"/>
        <v>4400000</v>
      </c>
      <c r="L12" s="50">
        <f t="shared" si="3"/>
        <v>4600000</v>
      </c>
      <c r="M12" s="50">
        <f t="shared" si="3"/>
        <v>4800000</v>
      </c>
      <c r="N12" s="51">
        <f t="shared" si="3"/>
        <v>5000000</v>
      </c>
      <c r="O12" s="50">
        <f>SUM(H12:N12)</f>
        <v>31278310</v>
      </c>
    </row>
    <row r="13" spans="1:19" ht="24" hidden="1" customHeight="1">
      <c r="A13" s="52" t="s">
        <v>8</v>
      </c>
      <c r="B13" s="194"/>
      <c r="C13" s="49" t="s">
        <v>26</v>
      </c>
      <c r="D13" s="49"/>
      <c r="E13" s="49"/>
      <c r="F13" s="49"/>
      <c r="G13" s="49"/>
      <c r="H13" s="52"/>
      <c r="I13" s="53"/>
      <c r="J13" s="52"/>
      <c r="K13" s="52"/>
      <c r="L13" s="52"/>
      <c r="M13" s="52"/>
      <c r="N13" s="53"/>
      <c r="O13" s="52">
        <f>SUM(H13:N13)</f>
        <v>0</v>
      </c>
    </row>
    <row r="14" spans="1:19" ht="23.45" hidden="1" customHeight="1">
      <c r="A14" s="151" t="s">
        <v>8</v>
      </c>
      <c r="B14" s="194"/>
      <c r="C14" s="49" t="s">
        <v>27</v>
      </c>
      <c r="D14" s="41">
        <v>828</v>
      </c>
      <c r="E14" s="41" t="s">
        <v>118</v>
      </c>
      <c r="F14" s="41" t="s">
        <v>119</v>
      </c>
      <c r="G14" s="41">
        <v>200</v>
      </c>
      <c r="H14" s="27">
        <f>4004310-H15-H16</f>
        <v>3843964.8</v>
      </c>
      <c r="I14" s="27">
        <f>4200000-I15-I16-26000</f>
        <v>4008893.6</v>
      </c>
      <c r="J14" s="27">
        <f>4300000-J15-J16</f>
        <v>4130098.6</v>
      </c>
      <c r="K14" s="27">
        <f>4400000-K15-K16</f>
        <v>4207842.5999999996</v>
      </c>
      <c r="L14" s="27">
        <f>4600000-L15-L16</f>
        <v>4407842.5999999996</v>
      </c>
      <c r="M14" s="27">
        <f>4800000-M15-M16</f>
        <v>4607842.5999999996</v>
      </c>
      <c r="N14" s="28">
        <f>5000000-N15-N16</f>
        <v>4807842.5999999996</v>
      </c>
      <c r="O14" s="50">
        <f t="shared" ref="O14:O16" si="4">SUM(H14:N14)</f>
        <v>30014327.399999999</v>
      </c>
    </row>
    <row r="15" spans="1:19" ht="23.45" hidden="1" customHeight="1">
      <c r="A15" s="176"/>
      <c r="B15" s="194"/>
      <c r="C15" s="49" t="s">
        <v>27</v>
      </c>
      <c r="D15" s="41">
        <v>828</v>
      </c>
      <c r="E15" s="41" t="s">
        <v>118</v>
      </c>
      <c r="F15" s="41" t="s">
        <v>119</v>
      </c>
      <c r="G15" s="41">
        <v>800</v>
      </c>
      <c r="H15" s="27">
        <v>5000</v>
      </c>
      <c r="I15" s="28">
        <v>5000</v>
      </c>
      <c r="J15" s="28">
        <v>5000</v>
      </c>
      <c r="K15" s="28">
        <v>5000</v>
      </c>
      <c r="L15" s="28">
        <v>5000</v>
      </c>
      <c r="M15" s="28">
        <v>5000</v>
      </c>
      <c r="N15" s="28">
        <v>5000</v>
      </c>
      <c r="O15" s="50">
        <f t="shared" si="4"/>
        <v>35000</v>
      </c>
    </row>
    <row r="16" spans="1:19" ht="29.25" hidden="1" customHeight="1">
      <c r="A16" s="176"/>
      <c r="B16" s="194"/>
      <c r="C16" s="54" t="s">
        <v>125</v>
      </c>
      <c r="D16" s="41">
        <v>828</v>
      </c>
      <c r="E16" s="41" t="s">
        <v>118</v>
      </c>
      <c r="F16" s="41" t="s">
        <v>150</v>
      </c>
      <c r="G16" s="41">
        <v>200</v>
      </c>
      <c r="H16" s="28">
        <f>22404.4+132940.8</f>
        <v>155345.19999999998</v>
      </c>
      <c r="I16" s="28">
        <f>22404.4+137702</f>
        <v>160106.4</v>
      </c>
      <c r="J16" s="28">
        <f>22404.4+142497</f>
        <v>164901.4</v>
      </c>
      <c r="K16" s="28">
        <f t="shared" ref="K16:N16" si="5">22404.4+164753</f>
        <v>187157.4</v>
      </c>
      <c r="L16" s="28">
        <f t="shared" si="5"/>
        <v>187157.4</v>
      </c>
      <c r="M16" s="28">
        <f t="shared" si="5"/>
        <v>187157.4</v>
      </c>
      <c r="N16" s="28">
        <f t="shared" si="5"/>
        <v>187157.4</v>
      </c>
      <c r="O16" s="50">
        <f t="shared" si="4"/>
        <v>1228982.6000000001</v>
      </c>
    </row>
    <row r="17" spans="1:24" ht="32.25" hidden="1" customHeight="1">
      <c r="A17" s="52">
        <v>2</v>
      </c>
      <c r="B17" s="196" t="s">
        <v>47</v>
      </c>
      <c r="C17" s="49" t="s">
        <v>25</v>
      </c>
      <c r="D17" s="49"/>
      <c r="E17" s="49"/>
      <c r="F17" s="49"/>
      <c r="G17" s="49"/>
      <c r="H17" s="50">
        <f>SUM(H18:H19)</f>
        <v>1028864.4</v>
      </c>
      <c r="I17" s="51">
        <f t="shared" ref="I17:O17" si="6">SUM(I18:I19)</f>
        <v>4901932.3999999994</v>
      </c>
      <c r="J17" s="50">
        <f t="shared" si="6"/>
        <v>7600706.5</v>
      </c>
      <c r="K17" s="50">
        <f t="shared" si="6"/>
        <v>7000000</v>
      </c>
      <c r="L17" s="50">
        <f t="shared" si="6"/>
        <v>7100000</v>
      </c>
      <c r="M17" s="50">
        <f t="shared" si="6"/>
        <v>7200000</v>
      </c>
      <c r="N17" s="51">
        <f t="shared" si="6"/>
        <v>7300000</v>
      </c>
      <c r="O17" s="50">
        <f t="shared" si="6"/>
        <v>42131503.299999997</v>
      </c>
    </row>
    <row r="18" spans="1:24" ht="23.45" hidden="1" customHeight="1">
      <c r="A18" s="52" t="s">
        <v>17</v>
      </c>
      <c r="B18" s="196"/>
      <c r="C18" s="49" t="s">
        <v>26</v>
      </c>
      <c r="D18" s="49"/>
      <c r="E18" s="49"/>
      <c r="F18" s="49"/>
      <c r="G18" s="49"/>
      <c r="H18" s="52"/>
      <c r="I18" s="53"/>
      <c r="J18" s="52"/>
      <c r="K18" s="52"/>
      <c r="L18" s="52"/>
      <c r="M18" s="52"/>
      <c r="N18" s="53"/>
      <c r="O18" s="113">
        <f>SUM(H18:N18)</f>
        <v>0</v>
      </c>
    </row>
    <row r="19" spans="1:24" ht="27.75" hidden="1" customHeight="1">
      <c r="A19" s="52" t="s">
        <v>17</v>
      </c>
      <c r="B19" s="196"/>
      <c r="C19" s="49" t="s">
        <v>27</v>
      </c>
      <c r="D19" s="41">
        <v>828</v>
      </c>
      <c r="E19" s="41" t="s">
        <v>118</v>
      </c>
      <c r="F19" s="41" t="s">
        <v>119</v>
      </c>
      <c r="G19" s="41">
        <v>200</v>
      </c>
      <c r="H19" s="50">
        <v>1028864.4</v>
      </c>
      <c r="I19" s="28">
        <f>5073344.3-873.9-169908-630</f>
        <v>4901932.3999999994</v>
      </c>
      <c r="J19" s="27">
        <f>6406952+1193754.5</f>
        <v>7600706.5</v>
      </c>
      <c r="K19" s="27">
        <v>7000000</v>
      </c>
      <c r="L19" s="27">
        <v>7100000</v>
      </c>
      <c r="M19" s="27">
        <v>7200000</v>
      </c>
      <c r="N19" s="27">
        <v>7300000</v>
      </c>
      <c r="O19" s="50">
        <f>SUM(H19:N19)</f>
        <v>42131503.299999997</v>
      </c>
    </row>
    <row r="20" spans="1:24" ht="21.75" hidden="1" customHeight="1">
      <c r="A20" s="52" t="s">
        <v>22</v>
      </c>
      <c r="B20" s="193" t="s">
        <v>48</v>
      </c>
      <c r="C20" s="49" t="s">
        <v>25</v>
      </c>
      <c r="D20" s="49"/>
      <c r="E20" s="49"/>
      <c r="F20" s="49"/>
      <c r="G20" s="49"/>
      <c r="H20" s="50">
        <f>SUM(H21:H23)</f>
        <v>1502852</v>
      </c>
      <c r="I20" s="50">
        <f t="shared" ref="I20:O20" si="7">SUM(I21:I23)</f>
        <v>0</v>
      </c>
      <c r="J20" s="50">
        <f t="shared" si="7"/>
        <v>0</v>
      </c>
      <c r="K20" s="50">
        <f t="shared" si="7"/>
        <v>0</v>
      </c>
      <c r="L20" s="50">
        <f t="shared" si="7"/>
        <v>0</v>
      </c>
      <c r="M20" s="50">
        <f t="shared" si="7"/>
        <v>0</v>
      </c>
      <c r="N20" s="51">
        <f t="shared" si="7"/>
        <v>0</v>
      </c>
      <c r="O20" s="50">
        <f t="shared" si="7"/>
        <v>1502852</v>
      </c>
      <c r="P20" s="13"/>
      <c r="Q20" s="13"/>
      <c r="R20" s="13"/>
      <c r="S20" s="13"/>
      <c r="T20" s="13"/>
      <c r="U20" s="13"/>
      <c r="V20" s="13"/>
      <c r="W20" s="20"/>
      <c r="X20" s="20"/>
    </row>
    <row r="21" spans="1:24" ht="22.5" hidden="1" customHeight="1">
      <c r="A21" s="52" t="s">
        <v>29</v>
      </c>
      <c r="B21" s="194"/>
      <c r="C21" s="49" t="s">
        <v>26</v>
      </c>
      <c r="D21" s="49"/>
      <c r="E21" s="49"/>
      <c r="F21" s="49"/>
      <c r="G21" s="49"/>
      <c r="H21" s="52"/>
      <c r="I21" s="52"/>
      <c r="J21" s="52"/>
      <c r="K21" s="52"/>
      <c r="L21" s="52"/>
      <c r="M21" s="52"/>
      <c r="N21" s="53"/>
      <c r="O21" s="113">
        <f>SUM(H21:N21)</f>
        <v>0</v>
      </c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24" hidden="1" customHeight="1">
      <c r="A22" s="52" t="s">
        <v>29</v>
      </c>
      <c r="B22" s="194"/>
      <c r="C22" s="49" t="s">
        <v>27</v>
      </c>
      <c r="D22" s="41">
        <v>828</v>
      </c>
      <c r="E22" s="41" t="s">
        <v>118</v>
      </c>
      <c r="F22" s="41" t="s">
        <v>126</v>
      </c>
      <c r="G22" s="43">
        <v>500</v>
      </c>
      <c r="H22" s="27">
        <f>1452289.5-H29</f>
        <v>1411869.5</v>
      </c>
      <c r="I22" s="52"/>
      <c r="J22" s="27"/>
      <c r="K22" s="27"/>
      <c r="L22" s="27"/>
      <c r="M22" s="27"/>
      <c r="N22" s="28"/>
      <c r="O22" s="50">
        <f t="shared" ref="O22:O23" si="8">SUM(H22:N22)</f>
        <v>1411869.5</v>
      </c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33.950000000000003" hidden="1" customHeight="1">
      <c r="A23" s="52" t="s">
        <v>45</v>
      </c>
      <c r="B23" s="195"/>
      <c r="C23" s="49" t="s">
        <v>53</v>
      </c>
      <c r="D23" s="49"/>
      <c r="E23" s="49"/>
      <c r="F23" s="49"/>
      <c r="G23" s="49"/>
      <c r="H23" s="27">
        <f>93562.5-H30</f>
        <v>90982.5</v>
      </c>
      <c r="I23" s="52"/>
      <c r="J23" s="27"/>
      <c r="K23" s="27"/>
      <c r="L23" s="27"/>
      <c r="M23" s="27"/>
      <c r="N23" s="28"/>
      <c r="O23" s="50">
        <f t="shared" si="8"/>
        <v>90982.5</v>
      </c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23.45" hidden="1" customHeight="1">
      <c r="A24" s="52" t="s">
        <v>21</v>
      </c>
      <c r="B24" s="175" t="s">
        <v>42</v>
      </c>
      <c r="C24" s="49" t="s">
        <v>25</v>
      </c>
      <c r="D24" s="49"/>
      <c r="E24" s="49"/>
      <c r="F24" s="49"/>
      <c r="G24" s="49"/>
      <c r="H24" s="50">
        <f>SUM(H25:H26)</f>
        <v>0</v>
      </c>
      <c r="I24" s="50">
        <f t="shared" ref="I24:N24" si="9">SUM(I25:I26)</f>
        <v>0</v>
      </c>
      <c r="J24" s="50">
        <f t="shared" si="9"/>
        <v>0</v>
      </c>
      <c r="K24" s="50">
        <f t="shared" si="9"/>
        <v>100000</v>
      </c>
      <c r="L24" s="50">
        <f t="shared" si="9"/>
        <v>100000</v>
      </c>
      <c r="M24" s="50">
        <f t="shared" si="9"/>
        <v>100000</v>
      </c>
      <c r="N24" s="51">
        <f t="shared" si="9"/>
        <v>100000</v>
      </c>
      <c r="O24" s="50">
        <f>SUM(O25:O26)</f>
        <v>400000</v>
      </c>
    </row>
    <row r="25" spans="1:24" ht="26.25" hidden="1" customHeight="1">
      <c r="A25" s="52" t="s">
        <v>31</v>
      </c>
      <c r="B25" s="175"/>
      <c r="C25" s="49" t="s">
        <v>26</v>
      </c>
      <c r="D25" s="49"/>
      <c r="E25" s="49"/>
      <c r="F25" s="49"/>
      <c r="G25" s="49"/>
      <c r="H25" s="52"/>
      <c r="I25" s="52"/>
      <c r="J25" s="52"/>
      <c r="K25" s="52"/>
      <c r="L25" s="52"/>
      <c r="M25" s="52"/>
      <c r="N25" s="53"/>
      <c r="O25" s="50">
        <f>SUM(H25:N25)</f>
        <v>0</v>
      </c>
    </row>
    <row r="26" spans="1:24" ht="28.5" hidden="1" customHeight="1">
      <c r="A26" s="52" t="s">
        <v>31</v>
      </c>
      <c r="B26" s="175"/>
      <c r="C26" s="49" t="s">
        <v>27</v>
      </c>
      <c r="D26" s="41">
        <v>828</v>
      </c>
      <c r="E26" s="41" t="s">
        <v>118</v>
      </c>
      <c r="F26" s="41" t="s">
        <v>119</v>
      </c>
      <c r="G26" s="41">
        <v>200</v>
      </c>
      <c r="H26" s="52"/>
      <c r="I26" s="52"/>
      <c r="J26" s="27"/>
      <c r="K26" s="27">
        <v>100000</v>
      </c>
      <c r="L26" s="27">
        <v>100000</v>
      </c>
      <c r="M26" s="27">
        <v>100000</v>
      </c>
      <c r="N26" s="28">
        <v>100000</v>
      </c>
      <c r="O26" s="50">
        <f>SUM(H26:N26)</f>
        <v>400000</v>
      </c>
    </row>
    <row r="27" spans="1:24" ht="35.25" hidden="1" customHeight="1">
      <c r="A27" s="52" t="s">
        <v>95</v>
      </c>
      <c r="B27" s="193" t="s">
        <v>43</v>
      </c>
      <c r="C27" s="49" t="s">
        <v>25</v>
      </c>
      <c r="D27" s="49"/>
      <c r="E27" s="49"/>
      <c r="F27" s="49"/>
      <c r="G27" s="49"/>
      <c r="H27" s="50">
        <f>SUM(H28:H30)</f>
        <v>43000</v>
      </c>
      <c r="I27" s="50">
        <f t="shared" ref="I27:O27" si="10">SUM(I28:I30)</f>
        <v>0</v>
      </c>
      <c r="J27" s="50"/>
      <c r="K27" s="50"/>
      <c r="L27" s="50"/>
      <c r="M27" s="50"/>
      <c r="N27" s="51"/>
      <c r="O27" s="50">
        <f t="shared" si="10"/>
        <v>43000</v>
      </c>
    </row>
    <row r="28" spans="1:24" ht="24.75" hidden="1" customHeight="1">
      <c r="A28" s="52" t="s">
        <v>97</v>
      </c>
      <c r="B28" s="194"/>
      <c r="C28" s="49" t="s">
        <v>26</v>
      </c>
      <c r="D28" s="49"/>
      <c r="E28" s="49"/>
      <c r="F28" s="49"/>
      <c r="G28" s="49"/>
      <c r="H28" s="52"/>
      <c r="I28" s="52"/>
      <c r="J28" s="52"/>
      <c r="K28" s="52"/>
      <c r="L28" s="52"/>
      <c r="M28" s="52"/>
      <c r="N28" s="53"/>
      <c r="O28" s="50">
        <f>SUM(H28:N28)</f>
        <v>0</v>
      </c>
    </row>
    <row r="29" spans="1:24" ht="25.5" hidden="1" customHeight="1">
      <c r="A29" s="52" t="s">
        <v>97</v>
      </c>
      <c r="B29" s="194"/>
      <c r="C29" s="49" t="s">
        <v>27</v>
      </c>
      <c r="D29" s="41">
        <v>828</v>
      </c>
      <c r="E29" s="41" t="s">
        <v>118</v>
      </c>
      <c r="F29" s="41" t="s">
        <v>126</v>
      </c>
      <c r="G29" s="43">
        <v>500</v>
      </c>
      <c r="H29" s="27">
        <f>43000*0.94</f>
        <v>40420</v>
      </c>
      <c r="I29" s="113">
        <v>0</v>
      </c>
      <c r="J29" s="27"/>
      <c r="K29" s="27"/>
      <c r="L29" s="27"/>
      <c r="M29" s="27"/>
      <c r="N29" s="28"/>
      <c r="O29" s="50">
        <f t="shared" ref="O29:O39" si="11">SUM(H29:N29)</f>
        <v>40420</v>
      </c>
    </row>
    <row r="30" spans="1:24" ht="35.25" hidden="1" customHeight="1">
      <c r="A30" s="52" t="s">
        <v>101</v>
      </c>
      <c r="B30" s="195"/>
      <c r="C30" s="49" t="s">
        <v>53</v>
      </c>
      <c r="D30" s="49"/>
      <c r="E30" s="49"/>
      <c r="F30" s="49"/>
      <c r="G30" s="49"/>
      <c r="H30" s="27">
        <f>43000-H29</f>
        <v>2580</v>
      </c>
      <c r="I30" s="113">
        <v>0</v>
      </c>
      <c r="J30" s="27"/>
      <c r="K30" s="27"/>
      <c r="L30" s="27"/>
      <c r="M30" s="27"/>
      <c r="N30" s="28"/>
      <c r="O30" s="50">
        <f t="shared" si="11"/>
        <v>2580</v>
      </c>
    </row>
    <row r="31" spans="1:24" ht="28.5" hidden="1" customHeight="1">
      <c r="A31" s="52" t="s">
        <v>96</v>
      </c>
      <c r="B31" s="175" t="s">
        <v>128</v>
      </c>
      <c r="C31" s="49" t="s">
        <v>25</v>
      </c>
      <c r="D31" s="49"/>
      <c r="E31" s="49"/>
      <c r="F31" s="49"/>
      <c r="G31" s="49"/>
      <c r="H31" s="50">
        <f>SUM(H32:H33)</f>
        <v>54842.899999999994</v>
      </c>
      <c r="I31" s="50">
        <f t="shared" ref="I31:O31" si="12">SUM(I32:I33)</f>
        <v>30821.799999999988</v>
      </c>
      <c r="J31" s="50"/>
      <c r="K31" s="50"/>
      <c r="L31" s="50">
        <f t="shared" si="12"/>
        <v>200000</v>
      </c>
      <c r="M31" s="50">
        <f t="shared" si="12"/>
        <v>200000</v>
      </c>
      <c r="N31" s="51">
        <f t="shared" si="12"/>
        <v>200000</v>
      </c>
      <c r="O31" s="50">
        <f t="shared" si="12"/>
        <v>685664.7</v>
      </c>
    </row>
    <row r="32" spans="1:24" ht="18.75" hidden="1" customHeight="1">
      <c r="A32" s="52" t="s">
        <v>102</v>
      </c>
      <c r="B32" s="175"/>
      <c r="C32" s="49" t="s">
        <v>26</v>
      </c>
      <c r="D32" s="49"/>
      <c r="E32" s="49"/>
      <c r="F32" s="49"/>
      <c r="G32" s="49"/>
      <c r="H32" s="50"/>
      <c r="I32" s="52"/>
      <c r="J32" s="52"/>
      <c r="K32" s="52"/>
      <c r="L32" s="52"/>
      <c r="M32" s="52"/>
      <c r="N32" s="53"/>
      <c r="O32" s="50">
        <f>SUM(H32:N32)</f>
        <v>0</v>
      </c>
    </row>
    <row r="33" spans="1:24" ht="34.5" hidden="1" customHeight="1">
      <c r="A33" s="52" t="s">
        <v>102</v>
      </c>
      <c r="B33" s="175"/>
      <c r="C33" s="49" t="s">
        <v>27</v>
      </c>
      <c r="D33" s="41">
        <v>828</v>
      </c>
      <c r="E33" s="41" t="s">
        <v>118</v>
      </c>
      <c r="F33" s="41" t="s">
        <v>127</v>
      </c>
      <c r="G33" s="41">
        <v>200</v>
      </c>
      <c r="H33" s="27">
        <v>54842.899999999994</v>
      </c>
      <c r="I33" s="50">
        <v>30821.799999999988</v>
      </c>
      <c r="J33" s="27"/>
      <c r="K33" s="27"/>
      <c r="L33" s="27">
        <v>200000</v>
      </c>
      <c r="M33" s="27">
        <v>200000</v>
      </c>
      <c r="N33" s="28">
        <v>200000</v>
      </c>
      <c r="O33" s="50">
        <f>SUM(H33:N33)</f>
        <v>685664.7</v>
      </c>
    </row>
    <row r="34" spans="1:24" ht="24.75" hidden="1" customHeight="1">
      <c r="A34" s="52" t="s">
        <v>103</v>
      </c>
      <c r="B34" s="197" t="s">
        <v>149</v>
      </c>
      <c r="C34" s="49" t="s">
        <v>25</v>
      </c>
      <c r="D34" s="49"/>
      <c r="E34" s="49"/>
      <c r="F34" s="49"/>
      <c r="G34" s="49"/>
      <c r="H34" s="50">
        <f>H35</f>
        <v>42536.7</v>
      </c>
      <c r="I34" s="50"/>
      <c r="J34" s="50">
        <f t="shared" ref="J34:O34" si="13">J35</f>
        <v>50000</v>
      </c>
      <c r="K34" s="50">
        <f t="shared" si="13"/>
        <v>50000</v>
      </c>
      <c r="L34" s="50">
        <f t="shared" si="13"/>
        <v>50000</v>
      </c>
      <c r="M34" s="50">
        <f t="shared" si="13"/>
        <v>50000</v>
      </c>
      <c r="N34" s="51">
        <f t="shared" si="13"/>
        <v>50000</v>
      </c>
      <c r="O34" s="50">
        <f t="shared" si="13"/>
        <v>292536.7</v>
      </c>
    </row>
    <row r="35" spans="1:24" ht="27.2" hidden="1" customHeight="1">
      <c r="A35" s="52" t="s">
        <v>104</v>
      </c>
      <c r="B35" s="198"/>
      <c r="C35" s="49" t="s">
        <v>27</v>
      </c>
      <c r="D35" s="41">
        <v>828</v>
      </c>
      <c r="E35" s="41" t="s">
        <v>118</v>
      </c>
      <c r="F35" s="41" t="s">
        <v>127</v>
      </c>
      <c r="G35" s="41">
        <v>200</v>
      </c>
      <c r="H35" s="27">
        <f>42536.7</f>
        <v>42536.7</v>
      </c>
      <c r="I35" s="27"/>
      <c r="J35" s="27">
        <v>50000</v>
      </c>
      <c r="K35" s="27">
        <v>50000</v>
      </c>
      <c r="L35" s="27">
        <v>50000</v>
      </c>
      <c r="M35" s="27">
        <v>50000</v>
      </c>
      <c r="N35" s="28">
        <v>50000</v>
      </c>
      <c r="O35" s="50">
        <f>SUM(H35:N35)</f>
        <v>292536.7</v>
      </c>
    </row>
    <row r="36" spans="1:24" ht="27.2" hidden="1" customHeight="1">
      <c r="A36" s="52" t="s">
        <v>116</v>
      </c>
      <c r="B36" s="197" t="s">
        <v>100</v>
      </c>
      <c r="C36" s="49" t="s">
        <v>25</v>
      </c>
      <c r="D36" s="41"/>
      <c r="E36" s="41"/>
      <c r="F36" s="41"/>
      <c r="G36" s="41"/>
      <c r="H36" s="27"/>
      <c r="I36" s="27">
        <f>I37</f>
        <v>120000</v>
      </c>
      <c r="J36" s="27"/>
      <c r="K36" s="27"/>
      <c r="L36" s="27"/>
      <c r="M36" s="27"/>
      <c r="N36" s="28"/>
      <c r="O36" s="50">
        <f>SUM(H36:N36)</f>
        <v>120000</v>
      </c>
    </row>
    <row r="37" spans="1:24" ht="27.2" hidden="1" customHeight="1">
      <c r="A37" s="122" t="s">
        <v>117</v>
      </c>
      <c r="B37" s="198"/>
      <c r="C37" s="49" t="s">
        <v>27</v>
      </c>
      <c r="D37" s="41">
        <v>828</v>
      </c>
      <c r="E37" s="41" t="s">
        <v>118</v>
      </c>
      <c r="F37" s="41" t="s">
        <v>127</v>
      </c>
      <c r="G37" s="41">
        <v>200</v>
      </c>
      <c r="H37" s="27"/>
      <c r="I37" s="27">
        <v>120000</v>
      </c>
      <c r="J37" s="27"/>
      <c r="K37" s="27"/>
      <c r="L37" s="27"/>
      <c r="M37" s="27"/>
      <c r="N37" s="28"/>
      <c r="O37" s="50">
        <f>SUM(H37:N37)</f>
        <v>120000</v>
      </c>
    </row>
    <row r="38" spans="1:24" ht="28.5" hidden="1" customHeight="1">
      <c r="A38" s="52" t="s">
        <v>129</v>
      </c>
      <c r="B38" s="175" t="s">
        <v>46</v>
      </c>
      <c r="C38" s="49" t="s">
        <v>25</v>
      </c>
      <c r="D38" s="49"/>
      <c r="E38" s="49"/>
      <c r="F38" s="49"/>
      <c r="G38" s="49"/>
      <c r="H38" s="50">
        <f t="shared" ref="H38:N38" si="14">SUM(H39:H39)</f>
        <v>52157</v>
      </c>
      <c r="I38" s="50">
        <f t="shared" si="14"/>
        <v>52000</v>
      </c>
      <c r="J38" s="50">
        <f t="shared" si="14"/>
        <v>55000</v>
      </c>
      <c r="K38" s="50">
        <f t="shared" si="14"/>
        <v>55000</v>
      </c>
      <c r="L38" s="50">
        <f t="shared" si="14"/>
        <v>55000</v>
      </c>
      <c r="M38" s="50">
        <f t="shared" si="14"/>
        <v>55000</v>
      </c>
      <c r="N38" s="51">
        <f t="shared" si="14"/>
        <v>55000</v>
      </c>
      <c r="O38" s="50">
        <f t="shared" si="11"/>
        <v>379157</v>
      </c>
    </row>
    <row r="39" spans="1:24" ht="28.5" hidden="1" customHeight="1">
      <c r="A39" s="52" t="s">
        <v>130</v>
      </c>
      <c r="B39" s="175"/>
      <c r="C39" s="49" t="s">
        <v>27</v>
      </c>
      <c r="D39" s="43">
        <v>828</v>
      </c>
      <c r="E39" s="43" t="s">
        <v>118</v>
      </c>
      <c r="F39" s="43" t="s">
        <v>119</v>
      </c>
      <c r="G39" s="43">
        <v>200</v>
      </c>
      <c r="H39" s="27">
        <f>35444+16713</f>
        <v>52157</v>
      </c>
      <c r="I39" s="28">
        <v>52000</v>
      </c>
      <c r="J39" s="28">
        <v>55000</v>
      </c>
      <c r="K39" s="28">
        <v>55000</v>
      </c>
      <c r="L39" s="27">
        <v>55000</v>
      </c>
      <c r="M39" s="27">
        <v>55000</v>
      </c>
      <c r="N39" s="28">
        <v>55000</v>
      </c>
      <c r="O39" s="50">
        <f t="shared" si="11"/>
        <v>379157</v>
      </c>
    </row>
    <row r="40" spans="1:24" ht="28.5" hidden="1" customHeight="1">
      <c r="A40" s="123"/>
      <c r="B40" s="124"/>
      <c r="C40" s="125"/>
      <c r="D40" s="125"/>
      <c r="E40" s="125"/>
      <c r="F40" s="125"/>
      <c r="G40" s="125"/>
      <c r="H40" s="42"/>
      <c r="I40" s="126"/>
      <c r="J40" s="126"/>
      <c r="K40" s="126"/>
      <c r="L40" s="126"/>
      <c r="M40" s="126"/>
      <c r="N40" s="126"/>
      <c r="O40" s="127"/>
    </row>
    <row r="41" spans="1:24" ht="28.5" customHeight="1">
      <c r="A41" s="119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1"/>
    </row>
    <row r="42" spans="1:24" ht="28.5" customHeight="1">
      <c r="A42" s="143" t="s">
        <v>0</v>
      </c>
      <c r="B42" s="143" t="s">
        <v>20</v>
      </c>
      <c r="C42" s="143" t="s">
        <v>137</v>
      </c>
      <c r="D42" s="187" t="s">
        <v>120</v>
      </c>
      <c r="E42" s="188"/>
      <c r="F42" s="188"/>
      <c r="G42" s="189"/>
      <c r="H42" s="143" t="s">
        <v>144</v>
      </c>
      <c r="I42" s="143"/>
      <c r="J42" s="143"/>
      <c r="K42" s="143"/>
      <c r="L42" s="143"/>
      <c r="M42" s="143"/>
      <c r="N42" s="143"/>
      <c r="O42" s="143"/>
    </row>
    <row r="43" spans="1:24" ht="24" customHeight="1">
      <c r="A43" s="143"/>
      <c r="B43" s="143"/>
      <c r="C43" s="143"/>
      <c r="D43" s="190" t="s">
        <v>121</v>
      </c>
      <c r="E43" s="191"/>
      <c r="F43" s="191"/>
      <c r="G43" s="192"/>
      <c r="H43" s="100" t="s">
        <v>195</v>
      </c>
      <c r="I43" s="100" t="s">
        <v>181</v>
      </c>
      <c r="J43" s="100" t="s">
        <v>182</v>
      </c>
      <c r="K43" s="100" t="s">
        <v>183</v>
      </c>
      <c r="L43" s="100" t="s">
        <v>184</v>
      </c>
      <c r="M43" s="100" t="s">
        <v>185</v>
      </c>
      <c r="N43" s="100" t="s">
        <v>186</v>
      </c>
      <c r="O43" s="100" t="s">
        <v>13</v>
      </c>
    </row>
    <row r="44" spans="1:24" ht="21.75" customHeight="1">
      <c r="A44" s="100">
        <v>1</v>
      </c>
      <c r="B44" s="100">
        <v>2</v>
      </c>
      <c r="C44" s="100">
        <v>2</v>
      </c>
      <c r="D44" s="100">
        <v>3</v>
      </c>
      <c r="E44" s="100">
        <v>4</v>
      </c>
      <c r="F44" s="100">
        <v>5</v>
      </c>
      <c r="G44" s="100">
        <v>6</v>
      </c>
      <c r="H44" s="100">
        <v>7</v>
      </c>
      <c r="I44" s="100">
        <v>8</v>
      </c>
      <c r="J44" s="100">
        <v>9</v>
      </c>
      <c r="K44" s="100">
        <v>10</v>
      </c>
      <c r="L44" s="100">
        <v>11</v>
      </c>
      <c r="M44" s="100">
        <v>12</v>
      </c>
      <c r="N44" s="100">
        <v>13</v>
      </c>
      <c r="O44" s="100">
        <v>14</v>
      </c>
      <c r="Q44" s="44"/>
      <c r="R44" s="44"/>
      <c r="S44" s="44"/>
      <c r="T44" s="44"/>
      <c r="U44" s="44"/>
      <c r="V44" s="44"/>
      <c r="W44" s="44"/>
    </row>
    <row r="45" spans="1:24" ht="28.5" customHeight="1">
      <c r="A45" s="128"/>
      <c r="B45" s="129"/>
      <c r="C45" s="184" t="s">
        <v>151</v>
      </c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6"/>
      <c r="P45" s="44">
        <f>O46-P46</f>
        <v>0</v>
      </c>
    </row>
    <row r="46" spans="1:24" ht="24" customHeight="1">
      <c r="A46" s="52"/>
      <c r="B46" s="180" t="s">
        <v>124</v>
      </c>
      <c r="C46" s="73" t="s">
        <v>49</v>
      </c>
      <c r="D46" s="49"/>
      <c r="E46" s="49"/>
      <c r="F46" s="49"/>
      <c r="G46" s="49"/>
      <c r="H46" s="50">
        <f>H55+H56+H57+H58+H67+H76+H85+H94+H103+H112+H121+H130+H131+H132+H133</f>
        <v>7024869</v>
      </c>
      <c r="I46" s="50">
        <f>I55+I56+I57+I58+I67+I76+I85+I94+I103+I112+I121+I130+I131+I132+I133</f>
        <v>8592850.3000000007</v>
      </c>
      <c r="J46" s="50">
        <f t="shared" ref="J46:N46" si="15">J55+J56+J57+J58+J67+J76+J85+J94+J103+J112+J121+J130+J131+J132+J133</f>
        <v>7902306</v>
      </c>
      <c r="K46" s="50">
        <f t="shared" si="15"/>
        <v>9828389</v>
      </c>
      <c r="L46" s="50">
        <f t="shared" si="15"/>
        <v>10528389</v>
      </c>
      <c r="M46" s="50">
        <f t="shared" si="15"/>
        <v>10828389</v>
      </c>
      <c r="N46" s="50">
        <f t="shared" si="15"/>
        <v>11128389.100000001</v>
      </c>
      <c r="O46" s="50">
        <f>SUM(H46:N46)</f>
        <v>65833581.399999999</v>
      </c>
      <c r="P46" s="44">
        <f>O55+O56+O57+O58+O67+O76+O85+O94+O103+O112+O121+O130+O131+O132+O133</f>
        <v>65833581.399999999</v>
      </c>
      <c r="Q46" s="44">
        <f>O46+O52</f>
        <v>66035880.699999996</v>
      </c>
      <c r="S46" s="44">
        <f>H46+H52</f>
        <v>7144715</v>
      </c>
      <c r="T46" s="44">
        <f>I46+I52</f>
        <v>8675303.6000000015</v>
      </c>
      <c r="U46" s="44">
        <f>O46+O52</f>
        <v>66035880.699999996</v>
      </c>
      <c r="V46" s="44"/>
      <c r="X46" s="44">
        <f>I46-I58-I130+2173</f>
        <v>8513339.3000000007</v>
      </c>
    </row>
    <row r="47" spans="1:24" ht="33.950000000000003" customHeight="1">
      <c r="A47" s="52"/>
      <c r="B47" s="181"/>
      <c r="C47" s="73" t="s">
        <v>138</v>
      </c>
      <c r="D47" s="49"/>
      <c r="E47" s="49"/>
      <c r="F47" s="49"/>
      <c r="G47" s="49"/>
      <c r="H47" s="50"/>
      <c r="I47" s="50"/>
      <c r="J47" s="50"/>
      <c r="K47" s="50"/>
      <c r="L47" s="50"/>
      <c r="M47" s="50"/>
      <c r="N47" s="50"/>
      <c r="O47" s="50"/>
      <c r="P47" s="44">
        <f>P46-O46</f>
        <v>0</v>
      </c>
      <c r="Q47" s="44">
        <f>H46+H52</f>
        <v>7144715</v>
      </c>
      <c r="T47" s="6">
        <v>22328</v>
      </c>
    </row>
    <row r="48" spans="1:24" ht="39.75" customHeight="1">
      <c r="A48" s="52"/>
      <c r="B48" s="181"/>
      <c r="C48" s="73" t="s">
        <v>139</v>
      </c>
      <c r="D48" s="49"/>
      <c r="E48" s="49"/>
      <c r="F48" s="49"/>
      <c r="G48" s="49"/>
      <c r="H48" s="50"/>
      <c r="I48" s="50"/>
      <c r="J48" s="50"/>
      <c r="K48" s="50"/>
      <c r="L48" s="50"/>
      <c r="M48" s="50"/>
      <c r="N48" s="50"/>
      <c r="O48" s="50"/>
      <c r="T48" s="44">
        <f>T46-T47</f>
        <v>8652975.6000000015</v>
      </c>
    </row>
    <row r="49" spans="1:18" ht="25.5" customHeight="1">
      <c r="A49" s="52"/>
      <c r="B49" s="181"/>
      <c r="C49" s="73" t="s">
        <v>140</v>
      </c>
      <c r="D49" s="49"/>
      <c r="E49" s="49"/>
      <c r="F49" s="49"/>
      <c r="G49" s="49"/>
      <c r="H49" s="50">
        <f>H79+H97</f>
        <v>1791439.7</v>
      </c>
      <c r="I49" s="50">
        <f>I79+I97</f>
        <v>1249395.3</v>
      </c>
      <c r="J49" s="52"/>
      <c r="K49" s="52"/>
      <c r="L49" s="52"/>
      <c r="M49" s="52"/>
      <c r="N49" s="52"/>
      <c r="O49" s="50">
        <f>SUM(H49:N49)</f>
        <v>3040835</v>
      </c>
    </row>
    <row r="50" spans="1:18" ht="70.5" customHeight="1">
      <c r="A50" s="52"/>
      <c r="B50" s="181"/>
      <c r="C50" s="73" t="s">
        <v>141</v>
      </c>
      <c r="D50" s="49"/>
      <c r="E50" s="49"/>
      <c r="F50" s="49"/>
      <c r="G50" s="49"/>
      <c r="H50" s="52"/>
      <c r="I50" s="52"/>
      <c r="J50" s="52"/>
      <c r="K50" s="52"/>
      <c r="L50" s="52"/>
      <c r="M50" s="52"/>
      <c r="N50" s="52"/>
      <c r="O50" s="50"/>
    </row>
    <row r="51" spans="1:18" ht="50.25" customHeight="1">
      <c r="A51" s="52"/>
      <c r="B51" s="181"/>
      <c r="C51" s="73" t="s">
        <v>142</v>
      </c>
      <c r="D51" s="49"/>
      <c r="E51" s="49"/>
      <c r="F51" s="49"/>
      <c r="G51" s="49"/>
      <c r="H51" s="50"/>
      <c r="I51" s="50"/>
      <c r="J51" s="50"/>
      <c r="K51" s="50"/>
      <c r="L51" s="50"/>
      <c r="M51" s="50"/>
      <c r="N51" s="50"/>
      <c r="O51" s="50"/>
    </row>
    <row r="52" spans="1:18" ht="27.2" customHeight="1">
      <c r="A52" s="52"/>
      <c r="B52" s="181"/>
      <c r="C52" s="73" t="s">
        <v>53</v>
      </c>
      <c r="D52" s="49"/>
      <c r="E52" s="49"/>
      <c r="F52" s="49"/>
      <c r="G52" s="49"/>
      <c r="H52" s="50">
        <f>H82+H100</f>
        <v>119846.00000000023</v>
      </c>
      <c r="I52" s="50">
        <f t="shared" ref="I52:N52" si="16">I82+I100</f>
        <v>82453.3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>SUM(H52:N52)</f>
        <v>202299.30000000022</v>
      </c>
    </row>
    <row r="53" spans="1:18" ht="21.75" customHeight="1">
      <c r="A53" s="52"/>
      <c r="B53" s="182"/>
      <c r="C53" s="73" t="s">
        <v>52</v>
      </c>
      <c r="D53" s="49"/>
      <c r="E53" s="49"/>
      <c r="F53" s="49"/>
      <c r="G53" s="49"/>
      <c r="H53" s="52"/>
      <c r="I53" s="52"/>
      <c r="J53" s="52"/>
      <c r="K53" s="52"/>
      <c r="L53" s="52"/>
      <c r="M53" s="52"/>
      <c r="N53" s="52"/>
      <c r="O53" s="50"/>
    </row>
    <row r="54" spans="1:18" ht="32.25" customHeight="1">
      <c r="A54" s="100" t="s">
        <v>8</v>
      </c>
      <c r="B54" s="46"/>
      <c r="C54" s="172" t="s">
        <v>148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4"/>
    </row>
    <row r="55" spans="1:18" ht="20.25" customHeight="1">
      <c r="A55" s="177"/>
      <c r="B55" s="180" t="s">
        <v>148</v>
      </c>
      <c r="C55" s="177" t="s">
        <v>49</v>
      </c>
      <c r="D55" s="41">
        <v>828</v>
      </c>
      <c r="E55" s="41" t="s">
        <v>118</v>
      </c>
      <c r="F55" s="41" t="s">
        <v>119</v>
      </c>
      <c r="G55" s="41">
        <v>200</v>
      </c>
      <c r="H55" s="27">
        <f>4164825-H56-H57-6878.7-7000-3500-500+30000+731-1510.1+213.8</f>
        <v>3980367.5999999996</v>
      </c>
      <c r="I55" s="27">
        <f>3874320.7+88.4</f>
        <v>3874409.1</v>
      </c>
      <c r="J55" s="27">
        <f>4200000-J56-J57-2023</f>
        <v>4005819.6</v>
      </c>
      <c r="K55" s="27">
        <v>4207842.5999999996</v>
      </c>
      <c r="L55" s="27">
        <v>4407842.5999999996</v>
      </c>
      <c r="M55" s="27">
        <v>4607842.5999999996</v>
      </c>
      <c r="N55" s="28">
        <v>4807842.7</v>
      </c>
      <c r="O55" s="50">
        <f>SUM(H55:N55)</f>
        <v>29891966.800000001</v>
      </c>
      <c r="Q55" s="55">
        <f>6684-155</f>
        <v>6529</v>
      </c>
      <c r="R55" s="56" t="s">
        <v>152</v>
      </c>
    </row>
    <row r="56" spans="1:18" ht="21" customHeight="1">
      <c r="A56" s="178"/>
      <c r="B56" s="181"/>
      <c r="C56" s="178"/>
      <c r="D56" s="41">
        <v>828</v>
      </c>
      <c r="E56" s="41" t="s">
        <v>118</v>
      </c>
      <c r="F56" s="41" t="s">
        <v>119</v>
      </c>
      <c r="G56" s="41">
        <v>800</v>
      </c>
      <c r="H56" s="27">
        <v>1500</v>
      </c>
      <c r="I56" s="28">
        <v>5000</v>
      </c>
      <c r="J56" s="28">
        <v>5000</v>
      </c>
      <c r="K56" s="28">
        <v>5000</v>
      </c>
      <c r="L56" s="28">
        <v>5000</v>
      </c>
      <c r="M56" s="28">
        <v>5000</v>
      </c>
      <c r="N56" s="28">
        <v>5000</v>
      </c>
      <c r="O56" s="50">
        <f>SUM(H56:N56)</f>
        <v>31500</v>
      </c>
    </row>
    <row r="57" spans="1:18" ht="20.25" customHeight="1">
      <c r="A57" s="178"/>
      <c r="B57" s="181"/>
      <c r="C57" s="178"/>
      <c r="D57" s="41">
        <v>828</v>
      </c>
      <c r="E57" s="41" t="s">
        <v>118</v>
      </c>
      <c r="F57" s="41" t="s">
        <v>150</v>
      </c>
      <c r="G57" s="41">
        <v>200</v>
      </c>
      <c r="H57" s="65">
        <v>194513.4</v>
      </c>
      <c r="I57" s="65">
        <v>358998.30000000005</v>
      </c>
      <c r="J57" s="65">
        <f>164753+22404.4</f>
        <v>187157.4</v>
      </c>
      <c r="K57" s="65">
        <f t="shared" ref="K57:N57" si="17">164753+22404.4</f>
        <v>187157.4</v>
      </c>
      <c r="L57" s="65">
        <f t="shared" si="17"/>
        <v>187157.4</v>
      </c>
      <c r="M57" s="65">
        <f t="shared" si="17"/>
        <v>187157.4</v>
      </c>
      <c r="N57" s="65">
        <f t="shared" si="17"/>
        <v>187157.4</v>
      </c>
      <c r="O57" s="50">
        <f t="shared" ref="O57:O58" si="18">SUM(H57:N57)</f>
        <v>1489298.7</v>
      </c>
    </row>
    <row r="58" spans="1:18" ht="20.25" customHeight="1">
      <c r="A58" s="179"/>
      <c r="B58" s="181"/>
      <c r="C58" s="179"/>
      <c r="D58" s="41">
        <v>828</v>
      </c>
      <c r="E58" s="41" t="s">
        <v>118</v>
      </c>
      <c r="F58" s="41" t="s">
        <v>150</v>
      </c>
      <c r="G58" s="41">
        <v>600</v>
      </c>
      <c r="H58" s="65">
        <v>22328</v>
      </c>
      <c r="I58" s="65">
        <v>22924</v>
      </c>
      <c r="J58" s="65">
        <v>23389</v>
      </c>
      <c r="K58" s="65">
        <v>23389</v>
      </c>
      <c r="L58" s="65">
        <v>23389</v>
      </c>
      <c r="M58" s="65">
        <v>23389</v>
      </c>
      <c r="N58" s="65">
        <v>23389</v>
      </c>
      <c r="O58" s="50">
        <f t="shared" si="18"/>
        <v>162197</v>
      </c>
    </row>
    <row r="59" spans="1:18" ht="35.25" customHeight="1">
      <c r="A59" s="73"/>
      <c r="B59" s="181"/>
      <c r="C59" s="73" t="s">
        <v>138</v>
      </c>
      <c r="D59" s="49"/>
      <c r="E59" s="49"/>
      <c r="F59" s="49"/>
      <c r="G59" s="49"/>
      <c r="H59" s="74"/>
      <c r="I59" s="74"/>
      <c r="J59" s="74"/>
      <c r="K59" s="74"/>
      <c r="L59" s="74"/>
      <c r="M59" s="74"/>
      <c r="N59" s="74"/>
      <c r="O59" s="74"/>
    </row>
    <row r="60" spans="1:18" ht="35.25" customHeight="1">
      <c r="A60" s="52"/>
      <c r="B60" s="181"/>
      <c r="C60" s="73" t="s">
        <v>139</v>
      </c>
      <c r="D60" s="49"/>
      <c r="E60" s="49"/>
      <c r="F60" s="49"/>
      <c r="G60" s="49"/>
      <c r="H60" s="50"/>
      <c r="I60" s="50"/>
      <c r="J60" s="50"/>
      <c r="K60" s="50"/>
      <c r="L60" s="50"/>
      <c r="M60" s="50"/>
      <c r="N60" s="50"/>
      <c r="O60" s="50"/>
    </row>
    <row r="61" spans="1:18" ht="24" customHeight="1">
      <c r="A61" s="52"/>
      <c r="B61" s="181"/>
      <c r="C61" s="73" t="s">
        <v>140</v>
      </c>
      <c r="D61" s="49"/>
      <c r="E61" s="49"/>
      <c r="F61" s="49"/>
      <c r="G61" s="49"/>
      <c r="H61" s="50"/>
      <c r="I61" s="50"/>
      <c r="J61" s="50"/>
      <c r="K61" s="50"/>
      <c r="L61" s="50"/>
      <c r="M61" s="50"/>
      <c r="N61" s="50"/>
      <c r="O61" s="50"/>
    </row>
    <row r="62" spans="1:18" ht="63">
      <c r="A62" s="52"/>
      <c r="B62" s="181"/>
      <c r="C62" s="73" t="s">
        <v>141</v>
      </c>
      <c r="D62" s="49"/>
      <c r="E62" s="49"/>
      <c r="F62" s="49"/>
      <c r="G62" s="49"/>
      <c r="H62" s="50"/>
      <c r="I62" s="50"/>
      <c r="J62" s="50"/>
      <c r="K62" s="50"/>
      <c r="L62" s="50"/>
      <c r="M62" s="50"/>
      <c r="N62" s="50"/>
      <c r="O62" s="50"/>
    </row>
    <row r="63" spans="1:18" ht="50.25" customHeight="1">
      <c r="A63" s="52"/>
      <c r="B63" s="181"/>
      <c r="C63" s="73" t="s">
        <v>142</v>
      </c>
      <c r="D63" s="49"/>
      <c r="E63" s="49"/>
      <c r="F63" s="49"/>
      <c r="G63" s="49"/>
      <c r="H63" s="50"/>
      <c r="I63" s="50"/>
      <c r="J63" s="50"/>
      <c r="K63" s="50"/>
      <c r="L63" s="50"/>
      <c r="M63" s="50"/>
      <c r="N63" s="50"/>
      <c r="O63" s="50"/>
    </row>
    <row r="64" spans="1:18" ht="21.75" customHeight="1">
      <c r="A64" s="52"/>
      <c r="B64" s="181"/>
      <c r="C64" s="73" t="s">
        <v>53</v>
      </c>
      <c r="D64" s="49"/>
      <c r="E64" s="49"/>
      <c r="F64" s="49"/>
      <c r="G64" s="49"/>
      <c r="H64" s="50"/>
      <c r="I64" s="50"/>
      <c r="J64" s="50"/>
      <c r="K64" s="50"/>
      <c r="L64" s="50"/>
      <c r="M64" s="50"/>
      <c r="N64" s="50"/>
      <c r="O64" s="50"/>
    </row>
    <row r="65" spans="1:16" ht="22.5" customHeight="1">
      <c r="A65" s="52"/>
      <c r="B65" s="182"/>
      <c r="C65" s="73" t="s">
        <v>52</v>
      </c>
      <c r="D65" s="49"/>
      <c r="E65" s="49"/>
      <c r="F65" s="49"/>
      <c r="G65" s="49"/>
      <c r="H65" s="50"/>
      <c r="I65" s="50"/>
      <c r="J65" s="50"/>
      <c r="K65" s="50"/>
      <c r="L65" s="50"/>
      <c r="M65" s="50"/>
      <c r="N65" s="50"/>
      <c r="O65" s="50"/>
    </row>
    <row r="66" spans="1:16" ht="35.25" customHeight="1">
      <c r="A66" s="100" t="s">
        <v>12</v>
      </c>
      <c r="B66" s="46"/>
      <c r="C66" s="172" t="s">
        <v>47</v>
      </c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4"/>
    </row>
    <row r="67" spans="1:16" ht="22.5" customHeight="1">
      <c r="A67" s="52"/>
      <c r="B67" s="175" t="s">
        <v>47</v>
      </c>
      <c r="C67" s="73" t="s">
        <v>49</v>
      </c>
      <c r="D67" s="41">
        <v>828</v>
      </c>
      <c r="E67" s="41" t="s">
        <v>118</v>
      </c>
      <c r="F67" s="41" t="s">
        <v>119</v>
      </c>
      <c r="G67" s="41">
        <v>200</v>
      </c>
      <c r="H67" s="50">
        <v>825404.8</v>
      </c>
      <c r="I67" s="27">
        <v>2787842.7</v>
      </c>
      <c r="J67" s="27">
        <f>7304165.4-2178784.5-148.4-3630-131455+100000+131455-1774642.1-37920.4-100000+50000-200000-100000</f>
        <v>3059040</v>
      </c>
      <c r="K67" s="50">
        <f>5200000-200000-150000</f>
        <v>4850000</v>
      </c>
      <c r="L67" s="50">
        <f>5300000</f>
        <v>5300000</v>
      </c>
      <c r="M67" s="50">
        <f>5400000</f>
        <v>5400000</v>
      </c>
      <c r="N67" s="51">
        <f>5500000</f>
        <v>5500000</v>
      </c>
      <c r="O67" s="50">
        <f>SUM(H67:N67)</f>
        <v>27722287.5</v>
      </c>
    </row>
    <row r="68" spans="1:16" ht="31.5">
      <c r="A68" s="52"/>
      <c r="B68" s="175"/>
      <c r="C68" s="73" t="s">
        <v>138</v>
      </c>
      <c r="D68" s="49"/>
      <c r="E68" s="49"/>
      <c r="F68" s="49"/>
      <c r="G68" s="49"/>
      <c r="H68" s="50"/>
      <c r="I68" s="50"/>
      <c r="J68" s="50"/>
      <c r="K68" s="50"/>
      <c r="L68" s="50"/>
      <c r="M68" s="50"/>
      <c r="N68" s="50"/>
      <c r="O68" s="50"/>
    </row>
    <row r="69" spans="1:16" ht="31.5">
      <c r="A69" s="52"/>
      <c r="B69" s="175"/>
      <c r="C69" s="73" t="s">
        <v>139</v>
      </c>
      <c r="D69" s="49"/>
      <c r="E69" s="49"/>
      <c r="F69" s="49"/>
      <c r="G69" s="49"/>
      <c r="H69" s="50"/>
      <c r="I69" s="50"/>
      <c r="J69" s="50"/>
      <c r="K69" s="50"/>
      <c r="L69" s="50"/>
      <c r="M69" s="50"/>
      <c r="N69" s="50"/>
      <c r="O69" s="50"/>
    </row>
    <row r="70" spans="1:16" ht="21.75" customHeight="1">
      <c r="A70" s="52"/>
      <c r="B70" s="175"/>
      <c r="C70" s="73" t="s">
        <v>140</v>
      </c>
      <c r="D70" s="49"/>
      <c r="E70" s="49"/>
      <c r="F70" s="49"/>
      <c r="G70" s="49"/>
      <c r="H70" s="50"/>
      <c r="I70" s="50"/>
      <c r="J70" s="50"/>
      <c r="K70" s="50"/>
      <c r="L70" s="50"/>
      <c r="M70" s="50"/>
      <c r="N70" s="50"/>
      <c r="O70" s="50"/>
    </row>
    <row r="71" spans="1:16" ht="63">
      <c r="A71" s="52"/>
      <c r="B71" s="175"/>
      <c r="C71" s="73" t="s">
        <v>141</v>
      </c>
      <c r="D71" s="49"/>
      <c r="E71" s="49"/>
      <c r="F71" s="49"/>
      <c r="G71" s="49"/>
      <c r="H71" s="50"/>
      <c r="I71" s="50"/>
      <c r="J71" s="50"/>
      <c r="K71" s="50"/>
      <c r="L71" s="50"/>
      <c r="M71" s="50"/>
      <c r="N71" s="50"/>
      <c r="O71" s="50"/>
    </row>
    <row r="72" spans="1:16" ht="47.25">
      <c r="A72" s="52"/>
      <c r="B72" s="175"/>
      <c r="C72" s="73" t="s">
        <v>142</v>
      </c>
      <c r="D72" s="49"/>
      <c r="E72" s="49"/>
      <c r="F72" s="49"/>
      <c r="G72" s="49"/>
      <c r="H72" s="50"/>
      <c r="I72" s="50"/>
      <c r="J72" s="50"/>
      <c r="K72" s="50"/>
      <c r="L72" s="50"/>
      <c r="M72" s="50"/>
      <c r="N72" s="50"/>
      <c r="O72" s="50"/>
    </row>
    <row r="73" spans="1:16" ht="18.75" customHeight="1">
      <c r="A73" s="52"/>
      <c r="B73" s="175"/>
      <c r="C73" s="73" t="s">
        <v>53</v>
      </c>
      <c r="D73" s="49"/>
      <c r="E73" s="49"/>
      <c r="F73" s="49"/>
      <c r="G73" s="49"/>
      <c r="H73" s="50"/>
      <c r="I73" s="50"/>
      <c r="J73" s="50"/>
      <c r="K73" s="50"/>
      <c r="L73" s="50"/>
      <c r="M73" s="50"/>
      <c r="N73" s="50"/>
      <c r="O73" s="50"/>
    </row>
    <row r="74" spans="1:16" ht="25.5" customHeight="1">
      <c r="A74" s="52"/>
      <c r="B74" s="175"/>
      <c r="C74" s="73" t="s">
        <v>52</v>
      </c>
      <c r="D74" s="49"/>
      <c r="E74" s="49"/>
      <c r="F74" s="49"/>
      <c r="G74" s="49"/>
      <c r="H74" s="50"/>
      <c r="I74" s="50"/>
      <c r="J74" s="50"/>
      <c r="K74" s="50"/>
      <c r="L74" s="50"/>
      <c r="M74" s="50"/>
      <c r="N74" s="50"/>
      <c r="O74" s="50"/>
    </row>
    <row r="75" spans="1:16" ht="35.25" customHeight="1">
      <c r="A75" s="100" t="s">
        <v>50</v>
      </c>
      <c r="B75" s="46"/>
      <c r="C75" s="172" t="s">
        <v>48</v>
      </c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4"/>
    </row>
    <row r="76" spans="1:16" ht="21.75" customHeight="1">
      <c r="A76" s="52"/>
      <c r="B76" s="180" t="s">
        <v>48</v>
      </c>
      <c r="C76" s="73" t="s">
        <v>49</v>
      </c>
      <c r="D76" s="41">
        <v>828</v>
      </c>
      <c r="E76" s="41" t="s">
        <v>118</v>
      </c>
      <c r="F76" s="41" t="s">
        <v>126</v>
      </c>
      <c r="G76" s="43">
        <v>500</v>
      </c>
      <c r="H76" s="75">
        <v>1791439.7</v>
      </c>
      <c r="I76" s="28">
        <f>1311983.7-62588.4</f>
        <v>1249395.3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f>SUM(H76:N76)</f>
        <v>3040835</v>
      </c>
      <c r="P76" s="44">
        <f>SUM(H76:N76)</f>
        <v>3040835</v>
      </c>
    </row>
    <row r="77" spans="1:16" ht="31.5">
      <c r="A77" s="52"/>
      <c r="B77" s="181"/>
      <c r="C77" s="73" t="s">
        <v>138</v>
      </c>
      <c r="D77" s="49"/>
      <c r="E77" s="49"/>
      <c r="F77" s="49"/>
      <c r="G77" s="49"/>
      <c r="H77" s="50"/>
      <c r="I77" s="50"/>
      <c r="J77" s="50"/>
      <c r="K77" s="50"/>
      <c r="L77" s="50"/>
      <c r="M77" s="50"/>
      <c r="N77" s="50"/>
      <c r="O77" s="50"/>
    </row>
    <row r="78" spans="1:16" ht="31.5">
      <c r="A78" s="52"/>
      <c r="B78" s="181"/>
      <c r="C78" s="73" t="s">
        <v>139</v>
      </c>
      <c r="D78" s="49"/>
      <c r="E78" s="49"/>
      <c r="F78" s="49"/>
      <c r="G78" s="49"/>
      <c r="H78" s="50"/>
      <c r="I78" s="50"/>
      <c r="J78" s="50"/>
      <c r="K78" s="50"/>
      <c r="L78" s="50"/>
      <c r="M78" s="50"/>
      <c r="N78" s="50"/>
      <c r="O78" s="50"/>
    </row>
    <row r="79" spans="1:16" ht="31.5">
      <c r="A79" s="52"/>
      <c r="B79" s="181"/>
      <c r="C79" s="73" t="s">
        <v>140</v>
      </c>
      <c r="D79" s="41">
        <v>828</v>
      </c>
      <c r="E79" s="41" t="s">
        <v>118</v>
      </c>
      <c r="F79" s="41" t="s">
        <v>126</v>
      </c>
      <c r="G79" s="43">
        <v>500</v>
      </c>
      <c r="H79" s="75">
        <f>H76</f>
        <v>1791439.7</v>
      </c>
      <c r="I79" s="28">
        <f>I76</f>
        <v>1249395.3</v>
      </c>
      <c r="J79" s="50"/>
      <c r="K79" s="50"/>
      <c r="L79" s="50"/>
      <c r="M79" s="50"/>
      <c r="N79" s="50"/>
      <c r="O79" s="50">
        <f>SUM(H79:N79)</f>
        <v>3040835</v>
      </c>
    </row>
    <row r="80" spans="1:16" ht="63">
      <c r="A80" s="52"/>
      <c r="B80" s="181"/>
      <c r="C80" s="73" t="s">
        <v>141</v>
      </c>
      <c r="D80" s="49"/>
      <c r="E80" s="49"/>
      <c r="F80" s="49"/>
      <c r="G80" s="49"/>
      <c r="H80" s="50"/>
      <c r="I80" s="50"/>
      <c r="J80" s="50"/>
      <c r="K80" s="50"/>
      <c r="L80" s="50"/>
      <c r="M80" s="50"/>
      <c r="N80" s="50"/>
      <c r="O80" s="50"/>
    </row>
    <row r="81" spans="1:15" ht="51.95" customHeight="1">
      <c r="A81" s="52"/>
      <c r="B81" s="181"/>
      <c r="C81" s="73" t="s">
        <v>142</v>
      </c>
      <c r="D81" s="49"/>
      <c r="E81" s="49"/>
      <c r="F81" s="49"/>
      <c r="G81" s="49"/>
      <c r="H81" s="76"/>
      <c r="I81" s="50"/>
      <c r="J81" s="50"/>
      <c r="K81" s="50"/>
      <c r="L81" s="50"/>
      <c r="M81" s="50"/>
      <c r="N81" s="50"/>
      <c r="O81" s="50"/>
    </row>
    <row r="82" spans="1:15" ht="23.45" customHeight="1">
      <c r="A82" s="52"/>
      <c r="B82" s="181"/>
      <c r="C82" s="73" t="s">
        <v>53</v>
      </c>
      <c r="D82" s="49"/>
      <c r="E82" s="49"/>
      <c r="F82" s="49"/>
      <c r="G82" s="49"/>
      <c r="H82" s="50">
        <v>119846.00000000023</v>
      </c>
      <c r="I82" s="50">
        <v>82453.3</v>
      </c>
      <c r="J82" s="50"/>
      <c r="K82" s="50"/>
      <c r="L82" s="50"/>
      <c r="M82" s="50"/>
      <c r="N82" s="50"/>
      <c r="O82" s="50">
        <f>SUM(H82:N82)</f>
        <v>202299.30000000022</v>
      </c>
    </row>
    <row r="83" spans="1:15" ht="21.75" customHeight="1">
      <c r="A83" s="52"/>
      <c r="B83" s="182"/>
      <c r="C83" s="73" t="s">
        <v>52</v>
      </c>
      <c r="D83" s="49"/>
      <c r="E83" s="49"/>
      <c r="F83" s="49"/>
      <c r="G83" s="49"/>
      <c r="H83" s="50"/>
      <c r="I83" s="50"/>
      <c r="J83" s="50"/>
      <c r="K83" s="50"/>
      <c r="L83" s="50"/>
      <c r="M83" s="50"/>
      <c r="N83" s="50"/>
      <c r="O83" s="50"/>
    </row>
    <row r="84" spans="1:15" ht="24" customHeight="1">
      <c r="A84" s="100" t="s">
        <v>51</v>
      </c>
      <c r="B84" s="46"/>
      <c r="C84" s="172" t="s">
        <v>42</v>
      </c>
      <c r="D84" s="173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4"/>
    </row>
    <row r="85" spans="1:15" ht="31.5">
      <c r="A85" s="52"/>
      <c r="B85" s="175" t="s">
        <v>42</v>
      </c>
      <c r="C85" s="73" t="s">
        <v>49</v>
      </c>
      <c r="D85" s="41">
        <v>828</v>
      </c>
      <c r="E85" s="41" t="s">
        <v>118</v>
      </c>
      <c r="F85" s="41" t="s">
        <v>119</v>
      </c>
      <c r="G85" s="41">
        <v>200</v>
      </c>
      <c r="H85" s="54"/>
      <c r="I85" s="68"/>
      <c r="J85" s="27">
        <v>200000</v>
      </c>
      <c r="K85" s="27">
        <f>100000+150000</f>
        <v>250000</v>
      </c>
      <c r="L85" s="27">
        <v>100000</v>
      </c>
      <c r="M85" s="27">
        <v>100000</v>
      </c>
      <c r="N85" s="28">
        <v>100000</v>
      </c>
      <c r="O85" s="50">
        <f>SUM(H85:N85)</f>
        <v>750000</v>
      </c>
    </row>
    <row r="86" spans="1:15" ht="31.5">
      <c r="A86" s="52"/>
      <c r="B86" s="175"/>
      <c r="C86" s="73" t="s">
        <v>138</v>
      </c>
      <c r="D86" s="49"/>
      <c r="E86" s="49"/>
      <c r="F86" s="49"/>
      <c r="G86" s="49"/>
      <c r="H86" s="74"/>
      <c r="I86" s="74"/>
      <c r="J86" s="74"/>
      <c r="K86" s="74"/>
      <c r="L86" s="74"/>
      <c r="M86" s="74"/>
      <c r="N86" s="74"/>
      <c r="O86" s="74"/>
    </row>
    <row r="87" spans="1:15" ht="37.5" customHeight="1">
      <c r="A87" s="52"/>
      <c r="B87" s="175"/>
      <c r="C87" s="73" t="s">
        <v>139</v>
      </c>
      <c r="D87" s="49"/>
      <c r="E87" s="49"/>
      <c r="F87" s="49"/>
      <c r="G87" s="49"/>
      <c r="H87" s="50"/>
      <c r="I87" s="50"/>
      <c r="J87" s="50"/>
      <c r="K87" s="50"/>
      <c r="L87" s="50"/>
      <c r="M87" s="50"/>
      <c r="N87" s="50"/>
      <c r="O87" s="50"/>
    </row>
    <row r="88" spans="1:15" ht="25.5" customHeight="1">
      <c r="A88" s="52"/>
      <c r="B88" s="175"/>
      <c r="C88" s="73" t="s">
        <v>140</v>
      </c>
      <c r="D88" s="49"/>
      <c r="E88" s="49"/>
      <c r="F88" s="49"/>
      <c r="G88" s="49"/>
      <c r="H88" s="50"/>
      <c r="I88" s="50"/>
      <c r="J88" s="50"/>
      <c r="K88" s="50"/>
      <c r="L88" s="50"/>
      <c r="M88" s="50"/>
      <c r="N88" s="50"/>
      <c r="O88" s="50"/>
    </row>
    <row r="89" spans="1:15" ht="63">
      <c r="A89" s="52"/>
      <c r="B89" s="175"/>
      <c r="C89" s="73" t="s">
        <v>141</v>
      </c>
      <c r="D89" s="49"/>
      <c r="E89" s="49"/>
      <c r="F89" s="49"/>
      <c r="G89" s="49"/>
      <c r="H89" s="50"/>
      <c r="I89" s="50"/>
      <c r="J89" s="50"/>
      <c r="K89" s="50"/>
      <c r="L89" s="50"/>
      <c r="M89" s="50"/>
      <c r="N89" s="50"/>
      <c r="O89" s="50"/>
    </row>
    <row r="90" spans="1:15" ht="47.25">
      <c r="A90" s="52"/>
      <c r="B90" s="175"/>
      <c r="C90" s="73" t="s">
        <v>142</v>
      </c>
      <c r="D90" s="49"/>
      <c r="E90" s="49"/>
      <c r="F90" s="49"/>
      <c r="G90" s="49"/>
      <c r="H90" s="50"/>
      <c r="I90" s="50"/>
      <c r="J90" s="50"/>
      <c r="K90" s="50"/>
      <c r="L90" s="50"/>
      <c r="M90" s="50"/>
      <c r="N90" s="50"/>
      <c r="O90" s="50"/>
    </row>
    <row r="91" spans="1:15" ht="15.75">
      <c r="A91" s="52"/>
      <c r="B91" s="175"/>
      <c r="C91" s="73" t="s">
        <v>53</v>
      </c>
      <c r="D91" s="49"/>
      <c r="E91" s="49"/>
      <c r="F91" s="49"/>
      <c r="G91" s="49"/>
      <c r="H91" s="50"/>
      <c r="I91" s="50"/>
      <c r="J91" s="50"/>
      <c r="K91" s="50"/>
      <c r="L91" s="50"/>
      <c r="M91" s="50"/>
      <c r="N91" s="50"/>
      <c r="O91" s="50"/>
    </row>
    <row r="92" spans="1:15" ht="15.75">
      <c r="A92" s="52"/>
      <c r="B92" s="175"/>
      <c r="C92" s="73" t="s">
        <v>52</v>
      </c>
      <c r="D92" s="49"/>
      <c r="E92" s="49"/>
      <c r="F92" s="49"/>
      <c r="G92" s="49"/>
      <c r="H92" s="50"/>
      <c r="I92" s="50"/>
      <c r="J92" s="50"/>
      <c r="K92" s="50"/>
      <c r="L92" s="50"/>
      <c r="M92" s="50"/>
      <c r="N92" s="50"/>
      <c r="O92" s="50"/>
    </row>
    <row r="93" spans="1:15" ht="27.75" hidden="1" customHeight="1">
      <c r="A93" s="100" t="s">
        <v>58</v>
      </c>
      <c r="B93" s="46"/>
      <c r="C93" s="172" t="s">
        <v>43</v>
      </c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4"/>
    </row>
    <row r="94" spans="1:15" ht="27.75" hidden="1" customHeight="1">
      <c r="A94" s="52"/>
      <c r="B94" s="175" t="s">
        <v>43</v>
      </c>
      <c r="C94" s="73" t="s">
        <v>49</v>
      </c>
      <c r="D94" s="41">
        <v>828</v>
      </c>
      <c r="E94" s="41" t="s">
        <v>118</v>
      </c>
      <c r="F94" s="41" t="s">
        <v>126</v>
      </c>
      <c r="G94" s="43">
        <v>500</v>
      </c>
      <c r="H94" s="50"/>
      <c r="I94" s="50">
        <v>0</v>
      </c>
      <c r="J94" s="50"/>
      <c r="K94" s="50"/>
      <c r="L94" s="50"/>
      <c r="M94" s="50"/>
      <c r="N94" s="50"/>
      <c r="O94" s="50">
        <f>SUM(H94:N94)</f>
        <v>0</v>
      </c>
    </row>
    <row r="95" spans="1:15" ht="31.5" hidden="1">
      <c r="A95" s="52"/>
      <c r="B95" s="175"/>
      <c r="C95" s="73" t="s">
        <v>138</v>
      </c>
      <c r="D95" s="49"/>
      <c r="E95" s="49"/>
      <c r="F95" s="49"/>
      <c r="G95" s="49"/>
      <c r="H95" s="74"/>
      <c r="I95" s="74"/>
      <c r="J95" s="74"/>
      <c r="K95" s="74"/>
      <c r="L95" s="74"/>
      <c r="M95" s="74"/>
      <c r="N95" s="74"/>
      <c r="O95" s="74"/>
    </row>
    <row r="96" spans="1:15" ht="31.5" hidden="1">
      <c r="A96" s="52"/>
      <c r="B96" s="175"/>
      <c r="C96" s="73" t="s">
        <v>139</v>
      </c>
      <c r="D96" s="49"/>
      <c r="E96" s="49"/>
      <c r="F96" s="49"/>
      <c r="G96" s="49"/>
      <c r="H96" s="50"/>
      <c r="I96" s="50"/>
      <c r="J96" s="50"/>
      <c r="K96" s="50"/>
      <c r="L96" s="50"/>
      <c r="M96" s="50"/>
      <c r="N96" s="50"/>
      <c r="O96" s="50"/>
    </row>
    <row r="97" spans="1:15" ht="31.5" hidden="1">
      <c r="A97" s="52"/>
      <c r="B97" s="175"/>
      <c r="C97" s="73" t="s">
        <v>140</v>
      </c>
      <c r="D97" s="41">
        <v>828</v>
      </c>
      <c r="E97" s="41" t="s">
        <v>118</v>
      </c>
      <c r="F97" s="41" t="s">
        <v>126</v>
      </c>
      <c r="G97" s="43">
        <v>500</v>
      </c>
      <c r="H97" s="50"/>
      <c r="I97" s="50"/>
      <c r="J97" s="50"/>
      <c r="K97" s="50"/>
      <c r="L97" s="50"/>
      <c r="M97" s="50"/>
      <c r="N97" s="50"/>
      <c r="O97" s="50">
        <f>SUM(H97:N97)</f>
        <v>0</v>
      </c>
    </row>
    <row r="98" spans="1:15" ht="63" hidden="1">
      <c r="A98" s="52"/>
      <c r="B98" s="175"/>
      <c r="C98" s="73" t="s">
        <v>141</v>
      </c>
      <c r="D98" s="49"/>
      <c r="E98" s="49"/>
      <c r="F98" s="49"/>
      <c r="G98" s="49"/>
      <c r="H98" s="50"/>
      <c r="I98" s="50"/>
      <c r="J98" s="50"/>
      <c r="K98" s="50"/>
      <c r="L98" s="50"/>
      <c r="M98" s="50"/>
      <c r="N98" s="50"/>
      <c r="O98" s="50"/>
    </row>
    <row r="99" spans="1:15" ht="47.25" hidden="1">
      <c r="A99" s="52"/>
      <c r="B99" s="175"/>
      <c r="C99" s="73" t="s">
        <v>142</v>
      </c>
      <c r="D99" s="49"/>
      <c r="E99" s="49"/>
      <c r="F99" s="49"/>
      <c r="G99" s="49"/>
      <c r="H99" s="74"/>
      <c r="I99" s="74"/>
      <c r="J99" s="74"/>
      <c r="K99" s="74"/>
      <c r="L99" s="74"/>
      <c r="M99" s="74"/>
      <c r="N99" s="74"/>
      <c r="O99" s="74"/>
    </row>
    <row r="100" spans="1:15" ht="15.75" hidden="1">
      <c r="A100" s="52"/>
      <c r="B100" s="175"/>
      <c r="C100" s="73" t="s">
        <v>53</v>
      </c>
      <c r="D100" s="49"/>
      <c r="E100" s="49"/>
      <c r="F100" s="49"/>
      <c r="G100" s="49"/>
      <c r="H100" s="50"/>
      <c r="I100" s="50">
        <f t="shared" ref="I100:N100" si="19">I30</f>
        <v>0</v>
      </c>
      <c r="J100" s="50">
        <f t="shared" si="19"/>
        <v>0</v>
      </c>
      <c r="K100" s="50">
        <f t="shared" si="19"/>
        <v>0</v>
      </c>
      <c r="L100" s="50">
        <f t="shared" si="19"/>
        <v>0</v>
      </c>
      <c r="M100" s="50">
        <f t="shared" si="19"/>
        <v>0</v>
      </c>
      <c r="N100" s="50">
        <f t="shared" si="19"/>
        <v>0</v>
      </c>
      <c r="O100" s="50">
        <f>SUM(H100:N100)</f>
        <v>0</v>
      </c>
    </row>
    <row r="101" spans="1:15" ht="15.75" hidden="1">
      <c r="A101" s="52"/>
      <c r="B101" s="175"/>
      <c r="C101" s="73" t="s">
        <v>52</v>
      </c>
      <c r="D101" s="49"/>
      <c r="E101" s="49"/>
      <c r="F101" s="49"/>
      <c r="G101" s="49"/>
      <c r="H101" s="50"/>
      <c r="I101" s="50"/>
      <c r="J101" s="50"/>
      <c r="K101" s="50"/>
      <c r="L101" s="50"/>
      <c r="M101" s="50"/>
      <c r="N101" s="50"/>
      <c r="O101" s="50"/>
    </row>
    <row r="102" spans="1:15" ht="25.5" customHeight="1">
      <c r="A102" s="100" t="s">
        <v>58</v>
      </c>
      <c r="B102" s="46"/>
      <c r="C102" s="172" t="s">
        <v>99</v>
      </c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4"/>
    </row>
    <row r="103" spans="1:15" ht="27.2" customHeight="1">
      <c r="A103" s="52"/>
      <c r="B103" s="183" t="s">
        <v>128</v>
      </c>
      <c r="C103" s="73" t="s">
        <v>49</v>
      </c>
      <c r="D103" s="41">
        <v>828</v>
      </c>
      <c r="E103" s="41" t="s">
        <v>118</v>
      </c>
      <c r="F103" s="41" t="s">
        <v>127</v>
      </c>
      <c r="G103" s="41">
        <v>200</v>
      </c>
      <c r="H103" s="50">
        <v>115453.2</v>
      </c>
      <c r="I103" s="27">
        <v>165513.9</v>
      </c>
      <c r="J103" s="27">
        <v>200000</v>
      </c>
      <c r="K103" s="27">
        <v>90000</v>
      </c>
      <c r="L103" s="27">
        <v>200000</v>
      </c>
      <c r="M103" s="27">
        <v>200000</v>
      </c>
      <c r="N103" s="28">
        <v>200000</v>
      </c>
      <c r="O103" s="50">
        <f>SUM(H103:N103)</f>
        <v>1170967.1000000001</v>
      </c>
    </row>
    <row r="104" spans="1:15" ht="31.5">
      <c r="A104" s="52"/>
      <c r="B104" s="183"/>
      <c r="C104" s="73" t="s">
        <v>138</v>
      </c>
      <c r="D104" s="49"/>
      <c r="E104" s="49"/>
      <c r="F104" s="49"/>
      <c r="G104" s="49"/>
      <c r="H104" s="74"/>
      <c r="I104" s="74"/>
      <c r="J104" s="74"/>
      <c r="K104" s="74"/>
      <c r="L104" s="74"/>
      <c r="M104" s="74"/>
      <c r="N104" s="74"/>
      <c r="O104" s="74"/>
    </row>
    <row r="105" spans="1:15" ht="31.5">
      <c r="A105" s="52"/>
      <c r="B105" s="183"/>
      <c r="C105" s="73" t="s">
        <v>139</v>
      </c>
      <c r="D105" s="49"/>
      <c r="E105" s="49"/>
      <c r="F105" s="49"/>
      <c r="G105" s="49"/>
      <c r="H105" s="50"/>
      <c r="I105" s="50"/>
      <c r="J105" s="50"/>
      <c r="K105" s="50"/>
      <c r="L105" s="50"/>
      <c r="M105" s="50"/>
      <c r="N105" s="50"/>
      <c r="O105" s="50"/>
    </row>
    <row r="106" spans="1:15" ht="15.75">
      <c r="A106" s="52"/>
      <c r="B106" s="183"/>
      <c r="C106" s="73" t="s">
        <v>140</v>
      </c>
      <c r="D106" s="49"/>
      <c r="E106" s="49"/>
      <c r="F106" s="49"/>
      <c r="G106" s="49"/>
      <c r="H106" s="50"/>
      <c r="I106" s="50"/>
      <c r="J106" s="50"/>
      <c r="K106" s="50"/>
      <c r="L106" s="50"/>
      <c r="M106" s="50"/>
      <c r="N106" s="50"/>
      <c r="O106" s="50"/>
    </row>
    <row r="107" spans="1:15" ht="63">
      <c r="A107" s="52"/>
      <c r="B107" s="183"/>
      <c r="C107" s="73" t="s">
        <v>141</v>
      </c>
      <c r="D107" s="49"/>
      <c r="E107" s="49"/>
      <c r="F107" s="49"/>
      <c r="G107" s="49"/>
      <c r="H107" s="50"/>
      <c r="I107" s="50"/>
      <c r="J107" s="50"/>
      <c r="K107" s="50"/>
      <c r="L107" s="50"/>
      <c r="M107" s="50"/>
      <c r="N107" s="50"/>
      <c r="O107" s="50"/>
    </row>
    <row r="108" spans="1:15" ht="51.95" customHeight="1">
      <c r="A108" s="52"/>
      <c r="B108" s="183"/>
      <c r="C108" s="73" t="s">
        <v>142</v>
      </c>
      <c r="D108" s="49"/>
      <c r="E108" s="49"/>
      <c r="F108" s="49"/>
      <c r="G108" s="49"/>
      <c r="H108" s="50"/>
      <c r="I108" s="50"/>
      <c r="J108" s="50"/>
      <c r="K108" s="50"/>
      <c r="L108" s="50"/>
      <c r="M108" s="50"/>
      <c r="N108" s="50"/>
      <c r="O108" s="50"/>
    </row>
    <row r="109" spans="1:15" ht="22.5" customHeight="1">
      <c r="A109" s="52"/>
      <c r="B109" s="183"/>
      <c r="C109" s="73" t="s">
        <v>53</v>
      </c>
      <c r="D109" s="49"/>
      <c r="E109" s="49"/>
      <c r="F109" s="49"/>
      <c r="G109" s="49"/>
      <c r="H109" s="50"/>
      <c r="I109" s="50"/>
      <c r="J109" s="50"/>
      <c r="K109" s="50"/>
      <c r="L109" s="50"/>
      <c r="M109" s="50"/>
      <c r="N109" s="50"/>
      <c r="O109" s="50"/>
    </row>
    <row r="110" spans="1:15" ht="20.25" customHeight="1">
      <c r="A110" s="52"/>
      <c r="B110" s="183"/>
      <c r="C110" s="73" t="s">
        <v>52</v>
      </c>
      <c r="D110" s="49"/>
      <c r="E110" s="49"/>
      <c r="F110" s="49"/>
      <c r="G110" s="49"/>
      <c r="H110" s="50"/>
      <c r="I110" s="50"/>
      <c r="J110" s="50"/>
      <c r="K110" s="50"/>
      <c r="L110" s="50"/>
      <c r="M110" s="50"/>
      <c r="N110" s="50"/>
      <c r="O110" s="50"/>
    </row>
    <row r="111" spans="1:15" ht="24.75" customHeight="1">
      <c r="A111" s="100" t="s">
        <v>59</v>
      </c>
      <c r="B111" s="46"/>
      <c r="C111" s="172" t="s">
        <v>153</v>
      </c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4"/>
    </row>
    <row r="112" spans="1:15" ht="31.5">
      <c r="A112" s="52"/>
      <c r="B112" s="180" t="s">
        <v>149</v>
      </c>
      <c r="C112" s="73" t="s">
        <v>49</v>
      </c>
      <c r="D112" s="41">
        <v>828</v>
      </c>
      <c r="E112" s="41" t="s">
        <v>118</v>
      </c>
      <c r="F112" s="41" t="s">
        <v>127</v>
      </c>
      <c r="G112" s="41">
        <v>200</v>
      </c>
      <c r="H112" s="27"/>
      <c r="I112" s="27">
        <v>18000</v>
      </c>
      <c r="J112" s="27">
        <v>166900</v>
      </c>
      <c r="K112" s="27">
        <f>250000-90000</f>
        <v>160000</v>
      </c>
      <c r="L112" s="27">
        <v>250000</v>
      </c>
      <c r="M112" s="27">
        <v>250000</v>
      </c>
      <c r="N112" s="27">
        <v>250000</v>
      </c>
      <c r="O112" s="50">
        <f>SUM(H112:N112)</f>
        <v>1094900</v>
      </c>
    </row>
    <row r="113" spans="1:15" ht="31.5">
      <c r="A113" s="52"/>
      <c r="B113" s="181"/>
      <c r="C113" s="73" t="s">
        <v>138</v>
      </c>
      <c r="D113" s="49"/>
      <c r="E113" s="49"/>
      <c r="F113" s="49"/>
      <c r="G113" s="49"/>
      <c r="H113" s="74"/>
      <c r="I113" s="74"/>
      <c r="J113" s="74"/>
      <c r="K113" s="74"/>
      <c r="L113" s="74"/>
      <c r="M113" s="74"/>
      <c r="N113" s="74"/>
      <c r="O113" s="74"/>
    </row>
    <row r="114" spans="1:15" ht="31.5">
      <c r="A114" s="52"/>
      <c r="B114" s="181"/>
      <c r="C114" s="73" t="s">
        <v>139</v>
      </c>
      <c r="D114" s="49"/>
      <c r="E114" s="49"/>
      <c r="F114" s="49"/>
      <c r="G114" s="49"/>
      <c r="H114" s="50"/>
      <c r="I114" s="50"/>
      <c r="J114" s="50"/>
      <c r="K114" s="50"/>
      <c r="L114" s="50"/>
      <c r="M114" s="50"/>
      <c r="N114" s="50"/>
      <c r="O114" s="50"/>
    </row>
    <row r="115" spans="1:15" ht="15.75">
      <c r="A115" s="52"/>
      <c r="B115" s="181"/>
      <c r="C115" s="73" t="s">
        <v>140</v>
      </c>
      <c r="D115" s="49"/>
      <c r="E115" s="49"/>
      <c r="F115" s="49"/>
      <c r="G115" s="49"/>
      <c r="H115" s="50"/>
      <c r="I115" s="50"/>
      <c r="J115" s="50"/>
      <c r="K115" s="50"/>
      <c r="L115" s="50"/>
      <c r="M115" s="50"/>
      <c r="N115" s="50"/>
      <c r="O115" s="50"/>
    </row>
    <row r="116" spans="1:15" ht="63">
      <c r="A116" s="52"/>
      <c r="B116" s="181"/>
      <c r="C116" s="73" t="s">
        <v>141</v>
      </c>
      <c r="D116" s="49"/>
      <c r="E116" s="49"/>
      <c r="F116" s="49"/>
      <c r="G116" s="49"/>
      <c r="H116" s="50"/>
      <c r="I116" s="50"/>
      <c r="J116" s="50"/>
      <c r="K116" s="50"/>
      <c r="L116" s="50"/>
      <c r="M116" s="50"/>
      <c r="N116" s="50"/>
      <c r="O116" s="50"/>
    </row>
    <row r="117" spans="1:15" ht="47.25">
      <c r="A117" s="52"/>
      <c r="B117" s="181"/>
      <c r="C117" s="73" t="s">
        <v>142</v>
      </c>
      <c r="D117" s="49"/>
      <c r="E117" s="49"/>
      <c r="F117" s="49"/>
      <c r="G117" s="49"/>
      <c r="H117" s="50"/>
      <c r="I117" s="50"/>
      <c r="J117" s="50"/>
      <c r="K117" s="50"/>
      <c r="L117" s="50"/>
      <c r="M117" s="50"/>
      <c r="N117" s="50"/>
      <c r="O117" s="50"/>
    </row>
    <row r="118" spans="1:15" ht="23.45" customHeight="1">
      <c r="A118" s="52"/>
      <c r="B118" s="181"/>
      <c r="C118" s="73" t="s">
        <v>53</v>
      </c>
      <c r="D118" s="49"/>
      <c r="E118" s="49"/>
      <c r="F118" s="49"/>
      <c r="G118" s="49"/>
      <c r="H118" s="50"/>
      <c r="I118" s="50"/>
      <c r="J118" s="50"/>
      <c r="K118" s="50"/>
      <c r="L118" s="50"/>
      <c r="M118" s="50"/>
      <c r="N118" s="50"/>
      <c r="O118" s="50"/>
    </row>
    <row r="119" spans="1:15" ht="21.75" customHeight="1">
      <c r="A119" s="52"/>
      <c r="B119" s="182"/>
      <c r="C119" s="73" t="s">
        <v>52</v>
      </c>
      <c r="D119" s="49"/>
      <c r="E119" s="49"/>
      <c r="F119" s="49"/>
      <c r="G119" s="49"/>
      <c r="H119" s="50"/>
      <c r="I119" s="50"/>
      <c r="J119" s="50"/>
      <c r="K119" s="50"/>
      <c r="L119" s="50"/>
      <c r="M119" s="50"/>
      <c r="N119" s="50"/>
      <c r="O119" s="50"/>
    </row>
    <row r="120" spans="1:15" ht="35.25" hidden="1" customHeight="1">
      <c r="A120" s="100" t="s">
        <v>61</v>
      </c>
      <c r="B120" s="130"/>
      <c r="C120" s="172" t="s">
        <v>100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4"/>
    </row>
    <row r="121" spans="1:15" ht="15.75" hidden="1">
      <c r="A121" s="52"/>
      <c r="B121" s="175" t="s">
        <v>100</v>
      </c>
      <c r="C121" s="73" t="s">
        <v>49</v>
      </c>
      <c r="D121" s="49"/>
      <c r="E121" s="49"/>
      <c r="F121" s="49"/>
      <c r="G121" s="49"/>
      <c r="H121" s="50">
        <f t="shared" ref="H121:N121" si="20">H36</f>
        <v>0</v>
      </c>
      <c r="I121" s="50">
        <v>0</v>
      </c>
      <c r="J121" s="50">
        <f t="shared" si="20"/>
        <v>0</v>
      </c>
      <c r="K121" s="50">
        <f t="shared" si="20"/>
        <v>0</v>
      </c>
      <c r="L121" s="50">
        <f t="shared" si="20"/>
        <v>0</v>
      </c>
      <c r="M121" s="50">
        <f t="shared" si="20"/>
        <v>0</v>
      </c>
      <c r="N121" s="50">
        <f t="shared" si="20"/>
        <v>0</v>
      </c>
      <c r="O121" s="50">
        <f>SUM(H121:N121)</f>
        <v>0</v>
      </c>
    </row>
    <row r="122" spans="1:15" ht="31.5" hidden="1">
      <c r="A122" s="52"/>
      <c r="B122" s="175"/>
      <c r="C122" s="73" t="s">
        <v>138</v>
      </c>
      <c r="D122" s="49"/>
      <c r="E122" s="49"/>
      <c r="F122" s="49"/>
      <c r="G122" s="49"/>
      <c r="H122" s="74"/>
      <c r="I122" s="74"/>
      <c r="J122" s="74"/>
      <c r="K122" s="74"/>
      <c r="L122" s="74"/>
      <c r="M122" s="74"/>
      <c r="N122" s="74"/>
      <c r="O122" s="74"/>
    </row>
    <row r="123" spans="1:15" ht="31.5" hidden="1">
      <c r="A123" s="52"/>
      <c r="B123" s="175"/>
      <c r="C123" s="73" t="s">
        <v>139</v>
      </c>
      <c r="D123" s="49"/>
      <c r="E123" s="49"/>
      <c r="F123" s="49"/>
      <c r="G123" s="49"/>
      <c r="H123" s="50"/>
      <c r="I123" s="50"/>
      <c r="J123" s="50"/>
      <c r="K123" s="50"/>
      <c r="L123" s="50"/>
      <c r="M123" s="50"/>
      <c r="N123" s="50"/>
      <c r="O123" s="50"/>
    </row>
    <row r="124" spans="1:15" ht="15.75" hidden="1">
      <c r="A124" s="52"/>
      <c r="B124" s="175"/>
      <c r="C124" s="73" t="s">
        <v>140</v>
      </c>
      <c r="D124" s="49"/>
      <c r="E124" s="49"/>
      <c r="F124" s="49"/>
      <c r="G124" s="49"/>
      <c r="H124" s="50"/>
      <c r="I124" s="50"/>
      <c r="J124" s="50"/>
      <c r="K124" s="50"/>
      <c r="L124" s="50"/>
      <c r="M124" s="50"/>
      <c r="N124" s="50"/>
      <c r="O124" s="50"/>
    </row>
    <row r="125" spans="1:15" ht="63" hidden="1">
      <c r="A125" s="52"/>
      <c r="B125" s="175"/>
      <c r="C125" s="73" t="s">
        <v>141</v>
      </c>
      <c r="D125" s="49"/>
      <c r="E125" s="49"/>
      <c r="F125" s="49"/>
      <c r="G125" s="49"/>
      <c r="H125" s="50"/>
      <c r="I125" s="50"/>
      <c r="J125" s="50"/>
      <c r="K125" s="50"/>
      <c r="L125" s="50"/>
      <c r="M125" s="50"/>
      <c r="N125" s="50"/>
      <c r="O125" s="50"/>
    </row>
    <row r="126" spans="1:15" ht="54.75" hidden="1" customHeight="1">
      <c r="A126" s="52"/>
      <c r="B126" s="175"/>
      <c r="C126" s="73" t="s">
        <v>142</v>
      </c>
      <c r="D126" s="49"/>
      <c r="E126" s="49"/>
      <c r="F126" s="49"/>
      <c r="G126" s="49"/>
      <c r="H126" s="50"/>
      <c r="I126" s="50"/>
      <c r="J126" s="50"/>
      <c r="K126" s="50"/>
      <c r="L126" s="50"/>
      <c r="M126" s="50"/>
      <c r="N126" s="50"/>
      <c r="O126" s="50"/>
    </row>
    <row r="127" spans="1:15" ht="27.75" hidden="1" customHeight="1">
      <c r="A127" s="52"/>
      <c r="B127" s="175"/>
      <c r="C127" s="73" t="s">
        <v>53</v>
      </c>
      <c r="D127" s="49"/>
      <c r="E127" s="49"/>
      <c r="F127" s="49"/>
      <c r="G127" s="49"/>
      <c r="H127" s="50"/>
      <c r="I127" s="50"/>
      <c r="J127" s="50"/>
      <c r="K127" s="50"/>
      <c r="L127" s="50"/>
      <c r="M127" s="50"/>
      <c r="N127" s="50"/>
      <c r="O127" s="50"/>
    </row>
    <row r="128" spans="1:15" ht="30" hidden="1" customHeight="1">
      <c r="A128" s="52"/>
      <c r="B128" s="175"/>
      <c r="C128" s="73" t="s">
        <v>52</v>
      </c>
      <c r="D128" s="49"/>
      <c r="E128" s="49"/>
      <c r="F128" s="49"/>
      <c r="G128" s="49"/>
      <c r="H128" s="50"/>
      <c r="I128" s="50"/>
      <c r="J128" s="50"/>
      <c r="K128" s="50"/>
      <c r="L128" s="50"/>
      <c r="M128" s="50"/>
      <c r="N128" s="50"/>
      <c r="O128" s="50"/>
    </row>
    <row r="129" spans="1:15" ht="29.25" customHeight="1">
      <c r="A129" s="100" t="s">
        <v>60</v>
      </c>
      <c r="B129" s="111"/>
      <c r="C129" s="172" t="s">
        <v>191</v>
      </c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  <c r="N129" s="173"/>
      <c r="O129" s="174"/>
    </row>
    <row r="130" spans="1:15" ht="31.5">
      <c r="A130" s="151"/>
      <c r="B130" s="175" t="s">
        <v>46</v>
      </c>
      <c r="C130" s="177" t="s">
        <v>49</v>
      </c>
      <c r="D130" s="41">
        <v>828</v>
      </c>
      <c r="E130" s="41" t="s">
        <v>118</v>
      </c>
      <c r="F130" s="41" t="s">
        <v>119</v>
      </c>
      <c r="G130" s="41">
        <v>200</v>
      </c>
      <c r="H130" s="50">
        <v>37764.800000000003</v>
      </c>
      <c r="I130" s="50">
        <v>58760</v>
      </c>
      <c r="J130" s="50">
        <f>55000-J132</f>
        <v>37000</v>
      </c>
      <c r="K130" s="50">
        <f t="shared" ref="K130:N130" si="21">55000-K132</f>
        <v>37000</v>
      </c>
      <c r="L130" s="50">
        <f t="shared" si="21"/>
        <v>37000</v>
      </c>
      <c r="M130" s="50">
        <f t="shared" si="21"/>
        <v>37000</v>
      </c>
      <c r="N130" s="51">
        <f t="shared" si="21"/>
        <v>37000</v>
      </c>
      <c r="O130" s="50">
        <f>SUM(H130:N130)</f>
        <v>281524.8</v>
      </c>
    </row>
    <row r="131" spans="1:15" ht="29.25" customHeight="1">
      <c r="A131" s="176"/>
      <c r="B131" s="175"/>
      <c r="C131" s="178"/>
      <c r="D131" s="41">
        <v>828</v>
      </c>
      <c r="E131" s="41" t="s">
        <v>118</v>
      </c>
      <c r="F131" s="41" t="s">
        <v>119</v>
      </c>
      <c r="G131" s="41">
        <v>800</v>
      </c>
      <c r="H131" s="50">
        <v>1040</v>
      </c>
      <c r="I131" s="50"/>
      <c r="J131" s="50"/>
      <c r="K131" s="50"/>
      <c r="L131" s="50"/>
      <c r="M131" s="50"/>
      <c r="N131" s="51"/>
      <c r="O131" s="50">
        <f>SUM(H131:N131)</f>
        <v>1040</v>
      </c>
    </row>
    <row r="132" spans="1:15" ht="30" customHeight="1">
      <c r="A132" s="176"/>
      <c r="B132" s="175"/>
      <c r="C132" s="178"/>
      <c r="D132" s="41">
        <v>828</v>
      </c>
      <c r="E132" s="41" t="s">
        <v>118</v>
      </c>
      <c r="F132" s="41" t="s">
        <v>127</v>
      </c>
      <c r="G132" s="41">
        <v>200</v>
      </c>
      <c r="H132" s="27">
        <v>45278.400000000001</v>
      </c>
      <c r="I132" s="50">
        <v>40007</v>
      </c>
      <c r="J132" s="50">
        <v>18000</v>
      </c>
      <c r="K132" s="50">
        <v>18000</v>
      </c>
      <c r="L132" s="50">
        <v>18000</v>
      </c>
      <c r="M132" s="50">
        <v>18000</v>
      </c>
      <c r="N132" s="51">
        <v>18000</v>
      </c>
      <c r="O132" s="50">
        <f>SUM(H132:N132)</f>
        <v>175285.4</v>
      </c>
    </row>
    <row r="133" spans="1:15" ht="30" customHeight="1">
      <c r="A133" s="152"/>
      <c r="B133" s="175"/>
      <c r="C133" s="179"/>
      <c r="D133" s="41">
        <v>828</v>
      </c>
      <c r="E133" s="41" t="s">
        <v>118</v>
      </c>
      <c r="F133" s="41" t="s">
        <v>127</v>
      </c>
      <c r="G133" s="41">
        <v>800</v>
      </c>
      <c r="H133" s="27">
        <v>9779.1</v>
      </c>
      <c r="I133" s="66">
        <v>12000</v>
      </c>
      <c r="J133" s="66"/>
      <c r="K133" s="66"/>
      <c r="L133" s="66"/>
      <c r="M133" s="66"/>
      <c r="N133" s="67"/>
      <c r="O133" s="50">
        <f>SUM(H133:N133)</f>
        <v>21779.1</v>
      </c>
    </row>
    <row r="134" spans="1:15" ht="31.5">
      <c r="A134" s="52"/>
      <c r="B134" s="175"/>
      <c r="C134" s="73" t="s">
        <v>138</v>
      </c>
      <c r="D134" s="49"/>
      <c r="E134" s="49"/>
      <c r="F134" s="49"/>
      <c r="G134" s="49"/>
      <c r="H134" s="50"/>
      <c r="I134" s="50"/>
      <c r="J134" s="50"/>
      <c r="K134" s="50"/>
      <c r="L134" s="50"/>
      <c r="M134" s="50"/>
      <c r="N134" s="50"/>
      <c r="O134" s="50"/>
    </row>
    <row r="135" spans="1:15" ht="31.5">
      <c r="A135" s="52"/>
      <c r="B135" s="175"/>
      <c r="C135" s="73" t="s">
        <v>139</v>
      </c>
      <c r="D135" s="49"/>
      <c r="E135" s="49"/>
      <c r="F135" s="49"/>
      <c r="G135" s="49"/>
      <c r="H135" s="50"/>
      <c r="I135" s="50"/>
      <c r="J135" s="50"/>
      <c r="K135" s="50"/>
      <c r="L135" s="50"/>
      <c r="M135" s="50"/>
      <c r="N135" s="50"/>
      <c r="O135" s="50"/>
    </row>
    <row r="136" spans="1:15" ht="22.5" customHeight="1">
      <c r="A136" s="52"/>
      <c r="B136" s="175"/>
      <c r="C136" s="73" t="s">
        <v>140</v>
      </c>
      <c r="D136" s="49"/>
      <c r="E136" s="49"/>
      <c r="F136" s="49"/>
      <c r="G136" s="49"/>
      <c r="H136" s="50"/>
      <c r="I136" s="50"/>
      <c r="J136" s="50"/>
      <c r="K136" s="50"/>
      <c r="L136" s="50"/>
      <c r="M136" s="50"/>
      <c r="N136" s="50"/>
      <c r="O136" s="50"/>
    </row>
    <row r="137" spans="1:15" ht="63">
      <c r="A137" s="52"/>
      <c r="B137" s="175"/>
      <c r="C137" s="73" t="s">
        <v>141</v>
      </c>
      <c r="D137" s="49"/>
      <c r="E137" s="49"/>
      <c r="F137" s="49"/>
      <c r="G137" s="49"/>
      <c r="H137" s="50"/>
      <c r="I137" s="50"/>
      <c r="J137" s="50"/>
      <c r="K137" s="50"/>
      <c r="L137" s="50"/>
      <c r="M137" s="50"/>
      <c r="N137" s="50"/>
      <c r="O137" s="50"/>
    </row>
    <row r="138" spans="1:15" ht="47.25">
      <c r="A138" s="52"/>
      <c r="B138" s="175"/>
      <c r="C138" s="73" t="s">
        <v>142</v>
      </c>
      <c r="D138" s="49"/>
      <c r="E138" s="49"/>
      <c r="F138" s="49"/>
      <c r="G138" s="49"/>
      <c r="H138" s="50"/>
      <c r="I138" s="50"/>
      <c r="J138" s="50"/>
      <c r="K138" s="50"/>
      <c r="L138" s="50"/>
      <c r="M138" s="50"/>
      <c r="N138" s="50"/>
      <c r="O138" s="50"/>
    </row>
    <row r="139" spans="1:15" ht="15.75">
      <c r="A139" s="52"/>
      <c r="B139" s="175"/>
      <c r="C139" s="73" t="s">
        <v>53</v>
      </c>
      <c r="D139" s="49"/>
      <c r="E139" s="49"/>
      <c r="F139" s="49"/>
      <c r="G139" s="49"/>
      <c r="H139" s="50"/>
      <c r="I139" s="50"/>
      <c r="J139" s="50"/>
      <c r="K139" s="50"/>
      <c r="L139" s="50"/>
      <c r="M139" s="50"/>
      <c r="N139" s="50"/>
      <c r="O139" s="50"/>
    </row>
    <row r="140" spans="1:15" ht="15.75">
      <c r="A140" s="52"/>
      <c r="B140" s="175"/>
      <c r="C140" s="73" t="s">
        <v>52</v>
      </c>
      <c r="D140" s="49"/>
      <c r="E140" s="49"/>
      <c r="F140" s="49"/>
      <c r="G140" s="49"/>
      <c r="H140" s="50"/>
      <c r="I140" s="50"/>
      <c r="J140" s="50"/>
      <c r="K140" s="50"/>
      <c r="L140" s="50"/>
      <c r="M140" s="50"/>
      <c r="N140" s="50"/>
      <c r="O140" s="50"/>
    </row>
    <row r="141" spans="1:15" ht="30" customHeight="1">
      <c r="A141" s="74"/>
      <c r="B141" s="74"/>
      <c r="C141" s="131" t="s">
        <v>143</v>
      </c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</row>
  </sheetData>
  <mergeCells count="49">
    <mergeCell ref="A2:O2"/>
    <mergeCell ref="A5:A6"/>
    <mergeCell ref="B5:B6"/>
    <mergeCell ref="C5:C6"/>
    <mergeCell ref="D5:G5"/>
    <mergeCell ref="H5:O5"/>
    <mergeCell ref="D6:G6"/>
    <mergeCell ref="B38:B39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A55:A58"/>
    <mergeCell ref="B55:B65"/>
    <mergeCell ref="C55:C58"/>
    <mergeCell ref="B112:B119"/>
    <mergeCell ref="C66:O66"/>
    <mergeCell ref="B67:B74"/>
    <mergeCell ref="C75:O75"/>
    <mergeCell ref="B76:B83"/>
    <mergeCell ref="C84:O84"/>
    <mergeCell ref="B85:B92"/>
    <mergeCell ref="C93:O93"/>
    <mergeCell ref="B94:B101"/>
    <mergeCell ref="C102:O102"/>
    <mergeCell ref="B103:B110"/>
    <mergeCell ref="C111:O111"/>
    <mergeCell ref="C120:O120"/>
    <mergeCell ref="B121:B128"/>
    <mergeCell ref="C129:O129"/>
    <mergeCell ref="A130:A133"/>
    <mergeCell ref="B130:B140"/>
    <mergeCell ref="C130:C133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4" firstPageNumber="40" fitToHeight="16" orientation="landscape" useFirstPageNumber="1" r:id="rId1"/>
  <headerFooter>
    <oddHeader>&amp;C&amp;P</oddHeader>
  </headerFooter>
  <rowBreaks count="3" manualBreakCount="3">
    <brk id="65" max="14" man="1"/>
    <brk id="90" max="14" man="1"/>
    <brk id="11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2. Показатели КПМ</vt:lpstr>
      <vt:lpstr>3.Показатели КПМ по месяцам </vt:lpstr>
      <vt:lpstr>4. Показатели КПМ по МО </vt:lpstr>
      <vt:lpstr>5. Мероприятия КПМ </vt:lpstr>
      <vt:lpstr>6. Финансовое обеспечение .</vt:lpstr>
      <vt:lpstr>'4. Показатели КПМ по МО '!Заголовки_для_печати</vt:lpstr>
      <vt:lpstr>'5. Мероприятия КПМ '!Заголовки_для_печати</vt:lpstr>
      <vt:lpstr>'6. Финансовое обеспечение .'!Заголовки_для_печати</vt:lpstr>
      <vt:lpstr>'2. Показатели КПМ'!Область_печати</vt:lpstr>
      <vt:lpstr>'3.Показатели КПМ по месяцам '!Область_печати</vt:lpstr>
      <vt:lpstr>'4. Показатели КПМ по МО '!Область_печати</vt:lpstr>
      <vt:lpstr>'5. Мероприятия КПМ '!Область_печати</vt:lpstr>
      <vt:lpstr>'6. Финансовое обеспечение 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2024-10-18T06:56:20Z</cp:lastPrinted>
  <dcterms:created xsi:type="dcterms:W3CDTF">2023-03-30T13:12:42Z</dcterms:created>
  <dcterms:modified xsi:type="dcterms:W3CDTF">2024-10-18T12:04:13Z</dcterms:modified>
</cp:coreProperties>
</file>