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70" windowHeight="12525"/>
  </bookViews>
  <sheets>
    <sheet name="14.10.2024 уточ мост" sheetId="35" r:id="rId1"/>
  </sheets>
  <definedNames>
    <definedName name="Z_D9A49370_59EF_4DF5_B20D_A46D1CBDF607_.wvu.PrintTitles" localSheetId="0" hidden="1">'14.10.2024 уточ мост'!$5:$8</definedName>
    <definedName name="Z_D9A49370_59EF_4DF5_B20D_A46D1CBDF607_.wvu.Rows" localSheetId="0" hidden="1">'14.10.2024 уточ мост'!#REF!</definedName>
    <definedName name="_xlnm.Print_Titles" localSheetId="0">'14.10.2024 уточ мост'!$5:$9</definedName>
    <definedName name="_xlnm.Print_Area" localSheetId="0">'14.10.2024 уточ мост'!$A$1:$AJ$166</definedName>
  </definedNames>
  <calcPr calcId="145621"/>
</workbook>
</file>

<file path=xl/calcChain.xml><?xml version="1.0" encoding="utf-8"?>
<calcChain xmlns="http://schemas.openxmlformats.org/spreadsheetml/2006/main">
  <c r="G140" i="35"/>
  <c r="G150"/>
  <c r="V165"/>
  <c r="G165" s="1"/>
  <c r="U165"/>
  <c r="X163"/>
  <c r="G163"/>
  <c r="X160"/>
  <c r="G160"/>
  <c r="V159"/>
  <c r="X159" s="1"/>
  <c r="X158"/>
  <c r="X157"/>
  <c r="V156"/>
  <c r="G156"/>
  <c r="AB154"/>
  <c r="AD154" s="1"/>
  <c r="AD152"/>
  <c r="AE152" s="1"/>
  <c r="AB150"/>
  <c r="AD150" s="1"/>
  <c r="X149"/>
  <c r="V149"/>
  <c r="U149"/>
  <c r="AB147"/>
  <c r="AD147" s="1"/>
  <c r="G147"/>
  <c r="AB145"/>
  <c r="AD145" s="1"/>
  <c r="AB142"/>
  <c r="AD142" s="1"/>
  <c r="AB140"/>
  <c r="AD140" s="1"/>
  <c r="AA140"/>
  <c r="AA138"/>
  <c r="G138"/>
  <c r="AB138" s="1"/>
  <c r="AD138" s="1"/>
  <c r="V137"/>
  <c r="X137" s="1"/>
  <c r="U137"/>
  <c r="V136"/>
  <c r="U136"/>
  <c r="AA134"/>
  <c r="G134"/>
  <c r="AB134" s="1"/>
  <c r="AD134" s="1"/>
  <c r="AD133"/>
  <c r="AB133"/>
  <c r="AA133"/>
  <c r="AE128"/>
  <c r="AD128"/>
  <c r="AD124" s="1"/>
  <c r="AD126" s="1"/>
  <c r="AA128"/>
  <c r="AA124" s="1"/>
  <c r="AD125"/>
  <c r="AB125"/>
  <c r="AA125"/>
  <c r="Y125"/>
  <c r="X125"/>
  <c r="V125"/>
  <c r="U125"/>
  <c r="G125"/>
  <c r="F125"/>
  <c r="AB124"/>
  <c r="Y124"/>
  <c r="Y126" s="1"/>
  <c r="U124"/>
  <c r="U126" s="1"/>
  <c r="F124"/>
  <c r="F126" s="1"/>
  <c r="AA122"/>
  <c r="G122"/>
  <c r="F122"/>
  <c r="S121"/>
  <c r="R121"/>
  <c r="Q121"/>
  <c r="P121"/>
  <c r="O121"/>
  <c r="N121"/>
  <c r="M121"/>
  <c r="L121"/>
  <c r="K121"/>
  <c r="J121"/>
  <c r="I121"/>
  <c r="H121"/>
  <c r="F121"/>
  <c r="F123" s="1"/>
  <c r="Y119"/>
  <c r="S119"/>
  <c r="R119"/>
  <c r="Q119"/>
  <c r="P119"/>
  <c r="O119"/>
  <c r="N119"/>
  <c r="M119"/>
  <c r="L119"/>
  <c r="K119"/>
  <c r="J119"/>
  <c r="I119"/>
  <c r="H119"/>
  <c r="F119"/>
  <c r="AD117"/>
  <c r="W117"/>
  <c r="V117" s="1"/>
  <c r="G117" s="1"/>
  <c r="X116"/>
  <c r="V116"/>
  <c r="T116"/>
  <c r="G116"/>
  <c r="E116"/>
  <c r="AC113"/>
  <c r="AB113"/>
  <c r="Z113"/>
  <c r="W113"/>
  <c r="R113"/>
  <c r="Q113"/>
  <c r="P113"/>
  <c r="N113"/>
  <c r="M113"/>
  <c r="L113"/>
  <c r="J113"/>
  <c r="I113"/>
  <c r="H113"/>
  <c r="AD112"/>
  <c r="AD113" s="1"/>
  <c r="X112"/>
  <c r="G112"/>
  <c r="G113" s="1"/>
  <c r="E112"/>
  <c r="E113" s="1"/>
  <c r="V111"/>
  <c r="X111" s="1"/>
  <c r="X113" s="1"/>
  <c r="T111"/>
  <c r="T113" s="1"/>
  <c r="AC109"/>
  <c r="AB109"/>
  <c r="Z109"/>
  <c r="S109"/>
  <c r="R109"/>
  <c r="Q109"/>
  <c r="P109"/>
  <c r="O109"/>
  <c r="N109"/>
  <c r="M109"/>
  <c r="L109"/>
  <c r="J109"/>
  <c r="I109"/>
  <c r="H109"/>
  <c r="AD108"/>
  <c r="AD109" s="1"/>
  <c r="X108"/>
  <c r="G108"/>
  <c r="G109" s="1"/>
  <c r="E108"/>
  <c r="E109" s="1"/>
  <c r="X107"/>
  <c r="X109" s="1"/>
  <c r="V107"/>
  <c r="V109" s="1"/>
  <c r="T107"/>
  <c r="T109" s="1"/>
  <c r="AC105"/>
  <c r="G105"/>
  <c r="E105"/>
  <c r="AD104"/>
  <c r="AB104"/>
  <c r="Z104"/>
  <c r="AB103"/>
  <c r="AB105" s="1"/>
  <c r="Z103"/>
  <c r="S101"/>
  <c r="R101"/>
  <c r="Q101"/>
  <c r="P101"/>
  <c r="O101"/>
  <c r="N101"/>
  <c r="M101"/>
  <c r="L101"/>
  <c r="J101"/>
  <c r="I101"/>
  <c r="H101"/>
  <c r="AD100"/>
  <c r="X100"/>
  <c r="G100"/>
  <c r="E100"/>
  <c r="AC99"/>
  <c r="AC101" s="1"/>
  <c r="Z99"/>
  <c r="Z101" s="1"/>
  <c r="W99"/>
  <c r="G99"/>
  <c r="G101" s="1"/>
  <c r="AB98"/>
  <c r="AB99" s="1"/>
  <c r="AB101" s="1"/>
  <c r="V97"/>
  <c r="V99" s="1"/>
  <c r="V101" s="1"/>
  <c r="E97"/>
  <c r="T97" s="1"/>
  <c r="T99" s="1"/>
  <c r="G95"/>
  <c r="AB94"/>
  <c r="AD94" s="1"/>
  <c r="E94"/>
  <c r="Z94" s="1"/>
  <c r="AB93"/>
  <c r="AC93" s="1"/>
  <c r="Z93"/>
  <c r="E93"/>
  <c r="AC91"/>
  <c r="U91"/>
  <c r="R91"/>
  <c r="Q91"/>
  <c r="P91"/>
  <c r="N91"/>
  <c r="M91"/>
  <c r="L91"/>
  <c r="J91"/>
  <c r="I91"/>
  <c r="H91"/>
  <c r="G91"/>
  <c r="E91"/>
  <c r="AB90"/>
  <c r="AD90" s="1"/>
  <c r="AD91" s="1"/>
  <c r="Z90"/>
  <c r="Z91" s="1"/>
  <c r="V89"/>
  <c r="X89" s="1"/>
  <c r="X91" s="1"/>
  <c r="T89"/>
  <c r="T91" s="1"/>
  <c r="AC87"/>
  <c r="G87"/>
  <c r="E87"/>
  <c r="AB86"/>
  <c r="AB87" s="1"/>
  <c r="Z86"/>
  <c r="Z87" s="1"/>
  <c r="AC84"/>
  <c r="V84"/>
  <c r="E84"/>
  <c r="AD83"/>
  <c r="AB83"/>
  <c r="AB84" s="1"/>
  <c r="Z83"/>
  <c r="AD82"/>
  <c r="Z82"/>
  <c r="Z84" s="1"/>
  <c r="X82"/>
  <c r="X84" s="1"/>
  <c r="G82"/>
  <c r="G84" s="1"/>
  <c r="AC80"/>
  <c r="Z80"/>
  <c r="G80"/>
  <c r="E80"/>
  <c r="AB79"/>
  <c r="AB80" s="1"/>
  <c r="AC77"/>
  <c r="Z77"/>
  <c r="R77"/>
  <c r="Q77"/>
  <c r="P77"/>
  <c r="O77"/>
  <c r="N77"/>
  <c r="M77"/>
  <c r="L77"/>
  <c r="J77"/>
  <c r="I77"/>
  <c r="H77"/>
  <c r="G77"/>
  <c r="E77"/>
  <c r="AD76"/>
  <c r="AD77" s="1"/>
  <c r="AB76"/>
  <c r="AB77" s="1"/>
  <c r="AC74"/>
  <c r="Z74"/>
  <c r="G74"/>
  <c r="E74"/>
  <c r="AB73"/>
  <c r="AD73" s="1"/>
  <c r="AD74" s="1"/>
  <c r="X72"/>
  <c r="X74" s="1"/>
  <c r="V72"/>
  <c r="V74" s="1"/>
  <c r="T72"/>
  <c r="T74" s="1"/>
  <c r="V70"/>
  <c r="T70"/>
  <c r="AD69"/>
  <c r="X69"/>
  <c r="X70" s="1"/>
  <c r="G69"/>
  <c r="E69"/>
  <c r="AC68"/>
  <c r="AC70" s="1"/>
  <c r="Z68"/>
  <c r="Z70" s="1"/>
  <c r="G68"/>
  <c r="G70" s="1"/>
  <c r="E68"/>
  <c r="AB67"/>
  <c r="AB68" s="1"/>
  <c r="AB70" s="1"/>
  <c r="AC65"/>
  <c r="R65"/>
  <c r="Q65"/>
  <c r="P65"/>
  <c r="O65"/>
  <c r="N65"/>
  <c r="M65"/>
  <c r="L65"/>
  <c r="J65"/>
  <c r="I65"/>
  <c r="H65"/>
  <c r="G65"/>
  <c r="E65"/>
  <c r="AD64"/>
  <c r="AD65" s="1"/>
  <c r="AB64"/>
  <c r="AB65" s="1"/>
  <c r="Z64"/>
  <c r="Z65" s="1"/>
  <c r="V63"/>
  <c r="X63" s="1"/>
  <c r="X65" s="1"/>
  <c r="T63"/>
  <c r="T65" s="1"/>
  <c r="AC61"/>
  <c r="AB61"/>
  <c r="V61"/>
  <c r="T61"/>
  <c r="R61"/>
  <c r="Q61"/>
  <c r="P61"/>
  <c r="O61"/>
  <c r="N61"/>
  <c r="M61"/>
  <c r="L61"/>
  <c r="J61"/>
  <c r="I61"/>
  <c r="H61"/>
  <c r="AD60"/>
  <c r="X60"/>
  <c r="X61" s="1"/>
  <c r="G60"/>
  <c r="G61" s="1"/>
  <c r="E60"/>
  <c r="E61" s="1"/>
  <c r="AD59"/>
  <c r="AD61" s="1"/>
  <c r="AB59"/>
  <c r="Z59"/>
  <c r="Z61" s="1"/>
  <c r="X57"/>
  <c r="W57"/>
  <c r="V57"/>
  <c r="T57"/>
  <c r="S57"/>
  <c r="R57"/>
  <c r="Q57"/>
  <c r="P57"/>
  <c r="O57"/>
  <c r="N57"/>
  <c r="M57"/>
  <c r="L57"/>
  <c r="J57"/>
  <c r="I57"/>
  <c r="H57"/>
  <c r="G57"/>
  <c r="E57"/>
  <c r="AC53"/>
  <c r="S53"/>
  <c r="S20" s="1"/>
  <c r="R53"/>
  <c r="Q53"/>
  <c r="P53"/>
  <c r="O53"/>
  <c r="N53"/>
  <c r="M53"/>
  <c r="L53"/>
  <c r="J53"/>
  <c r="I53"/>
  <c r="H53"/>
  <c r="G53"/>
  <c r="AB52"/>
  <c r="AB53" s="1"/>
  <c r="E52"/>
  <c r="Z52" s="1"/>
  <c r="Z53" s="1"/>
  <c r="X48"/>
  <c r="X53" s="1"/>
  <c r="V48"/>
  <c r="V53" s="1"/>
  <c r="T48"/>
  <c r="T53" s="1"/>
  <c r="AC45"/>
  <c r="Z45"/>
  <c r="R45"/>
  <c r="Q45"/>
  <c r="P45"/>
  <c r="N45"/>
  <c r="M45"/>
  <c r="L45"/>
  <c r="J45"/>
  <c r="I45"/>
  <c r="H45"/>
  <c r="G45"/>
  <c r="E45"/>
  <c r="AB44"/>
  <c r="AD44" s="1"/>
  <c r="AD45" s="1"/>
  <c r="AC42"/>
  <c r="R42"/>
  <c r="Q42"/>
  <c r="P42"/>
  <c r="L42"/>
  <c r="J42"/>
  <c r="I42"/>
  <c r="H42"/>
  <c r="G42"/>
  <c r="AB41"/>
  <c r="AD41" s="1"/>
  <c r="Z41"/>
  <c r="AD40"/>
  <c r="AD42" s="1"/>
  <c r="AB40"/>
  <c r="E40"/>
  <c r="Z40" s="1"/>
  <c r="Z42" s="1"/>
  <c r="R36"/>
  <c r="Q36"/>
  <c r="P36"/>
  <c r="O36"/>
  <c r="O20" s="1"/>
  <c r="N36"/>
  <c r="M36"/>
  <c r="L36"/>
  <c r="J36"/>
  <c r="J20" s="1"/>
  <c r="I36"/>
  <c r="H36"/>
  <c r="AD35"/>
  <c r="X35"/>
  <c r="G35"/>
  <c r="E35"/>
  <c r="AC34"/>
  <c r="AC36" s="1"/>
  <c r="W34"/>
  <c r="W36" s="1"/>
  <c r="G34"/>
  <c r="G36" s="1"/>
  <c r="AB33"/>
  <c r="AB34" s="1"/>
  <c r="AB36" s="1"/>
  <c r="E33"/>
  <c r="Z33" s="1"/>
  <c r="Z34" s="1"/>
  <c r="Z36" s="1"/>
  <c r="V32"/>
  <c r="V34" s="1"/>
  <c r="V36" s="1"/>
  <c r="T32"/>
  <c r="T34" s="1"/>
  <c r="T36" s="1"/>
  <c r="E32"/>
  <c r="W30"/>
  <c r="AD29"/>
  <c r="V29"/>
  <c r="X29" s="1"/>
  <c r="G29"/>
  <c r="G23" s="1"/>
  <c r="E29"/>
  <c r="AC28"/>
  <c r="AC30" s="1"/>
  <c r="T28"/>
  <c r="T30" s="1"/>
  <c r="R28"/>
  <c r="Q28"/>
  <c r="P28"/>
  <c r="N28"/>
  <c r="M28"/>
  <c r="L28"/>
  <c r="Z27"/>
  <c r="G27"/>
  <c r="AB27" s="1"/>
  <c r="AD26"/>
  <c r="AB26"/>
  <c r="E26"/>
  <c r="Z26" s="1"/>
  <c r="AB25"/>
  <c r="AD25" s="1"/>
  <c r="V25"/>
  <c r="V28" s="1"/>
  <c r="V30" s="1"/>
  <c r="E25"/>
  <c r="Z25" s="1"/>
  <c r="AD23"/>
  <c r="AB23"/>
  <c r="Z23"/>
  <c r="V23"/>
  <c r="T23"/>
  <c r="AI22"/>
  <c r="AH22"/>
  <c r="AF22"/>
  <c r="AL20"/>
  <c r="AJ20"/>
  <c r="AJ22" s="1"/>
  <c r="Q20"/>
  <c r="M20"/>
  <c r="K20"/>
  <c r="I20"/>
  <c r="Z18"/>
  <c r="G18"/>
  <c r="E18"/>
  <c r="AB17"/>
  <c r="AB18" s="1"/>
  <c r="Z17"/>
  <c r="G15"/>
  <c r="G12" s="1"/>
  <c r="E15"/>
  <c r="X14"/>
  <c r="X15" s="1"/>
  <c r="X12" s="1"/>
  <c r="V14"/>
  <c r="V15" s="1"/>
  <c r="V12" s="1"/>
  <c r="T14"/>
  <c r="T15" s="1"/>
  <c r="T12" s="1"/>
  <c r="AB12"/>
  <c r="Z12"/>
  <c r="AE119" l="1"/>
  <c r="AE125"/>
  <c r="AE124"/>
  <c r="AE126" s="1"/>
  <c r="E70"/>
  <c r="V91"/>
  <c r="Z95"/>
  <c r="E95"/>
  <c r="E99"/>
  <c r="E101" s="1"/>
  <c r="W22"/>
  <c r="P20"/>
  <c r="V113"/>
  <c r="AK125"/>
  <c r="AD122"/>
  <c r="AA121"/>
  <c r="V124"/>
  <c r="V126" s="1"/>
  <c r="G121"/>
  <c r="E12"/>
  <c r="AD17"/>
  <c r="X25"/>
  <c r="E23"/>
  <c r="X23"/>
  <c r="E34"/>
  <c r="E36" s="1"/>
  <c r="N20"/>
  <c r="R20"/>
  <c r="AB42"/>
  <c r="L20"/>
  <c r="H20"/>
  <c r="AD52"/>
  <c r="AD53" s="1"/>
  <c r="AD84"/>
  <c r="AB91"/>
  <c r="X97"/>
  <c r="X99" s="1"/>
  <c r="X101" s="1"/>
  <c r="AD98"/>
  <c r="AD99" s="1"/>
  <c r="AD101" s="1"/>
  <c r="W101"/>
  <c r="Z105"/>
  <c r="AD103"/>
  <c r="AD105" s="1"/>
  <c r="AA126"/>
  <c r="AB122"/>
  <c r="U121"/>
  <c r="U123" s="1"/>
  <c r="X156"/>
  <c r="X124" s="1"/>
  <c r="X126" s="1"/>
  <c r="G124"/>
  <c r="X121"/>
  <c r="X123" s="1"/>
  <c r="G126"/>
  <c r="AA123"/>
  <c r="AA119"/>
  <c r="W20"/>
  <c r="AK124"/>
  <c r="AL124" s="1"/>
  <c r="AL125"/>
  <c r="Z28"/>
  <c r="Z30" s="1"/>
  <c r="Z20" s="1"/>
  <c r="Z22"/>
  <c r="AB22"/>
  <c r="AB28"/>
  <c r="AB30" s="1"/>
  <c r="AD27"/>
  <c r="AC95"/>
  <c r="AC20" s="1"/>
  <c r="AC22"/>
  <c r="T101"/>
  <c r="T22"/>
  <c r="G123"/>
  <c r="T20"/>
  <c r="AB74"/>
  <c r="E42"/>
  <c r="V119"/>
  <c r="V121"/>
  <c r="V123" s="1"/>
  <c r="AD121"/>
  <c r="E22"/>
  <c r="G25"/>
  <c r="X28"/>
  <c r="X30" s="1"/>
  <c r="X20" s="1"/>
  <c r="AB45"/>
  <c r="V65"/>
  <c r="V20" s="1"/>
  <c r="AD79"/>
  <c r="AD80" s="1"/>
  <c r="AD86"/>
  <c r="AD87" s="1"/>
  <c r="AD93"/>
  <c r="AD95" s="1"/>
  <c r="AB95"/>
  <c r="U119"/>
  <c r="AB121"/>
  <c r="AB126"/>
  <c r="AK126" s="1"/>
  <c r="E28"/>
  <c r="E30" s="1"/>
  <c r="E53"/>
  <c r="V22"/>
  <c r="X32"/>
  <c r="X34" s="1"/>
  <c r="X36" s="1"/>
  <c r="AD33"/>
  <c r="AD34" s="1"/>
  <c r="AD36" s="1"/>
  <c r="AD67"/>
  <c r="AD68" s="1"/>
  <c r="AD70" s="1"/>
  <c r="G119"/>
  <c r="X119" l="1"/>
  <c r="AD12"/>
  <c r="AD18"/>
  <c r="AD123"/>
  <c r="AD119"/>
  <c r="AD22"/>
  <c r="E20"/>
  <c r="AL126"/>
  <c r="AB123"/>
  <c r="AB119"/>
  <c r="AK119" s="1"/>
  <c r="AK121"/>
  <c r="AL121" s="1"/>
  <c r="G28"/>
  <c r="G30" s="1"/>
  <c r="G20" s="1"/>
  <c r="AK22" s="1"/>
  <c r="G22"/>
  <c r="AL119"/>
  <c r="AD28"/>
  <c r="AD30" s="1"/>
  <c r="AD20" s="1"/>
  <c r="AB20"/>
  <c r="AK21" s="1"/>
  <c r="X22"/>
</calcChain>
</file>

<file path=xl/sharedStrings.xml><?xml version="1.0" encoding="utf-8"?>
<sst xmlns="http://schemas.openxmlformats.org/spreadsheetml/2006/main" count="272" uniqueCount="163">
  <si>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</si>
  <si>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</si>
  <si>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</si>
  <si>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</si>
  <si>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</si>
  <si>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</si>
  <si>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</si>
  <si>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</si>
  <si>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</si>
  <si>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</si>
  <si>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</si>
  <si>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</si>
  <si>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</si>
  <si>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</si>
  <si>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</si>
  <si>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</si>
  <si>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</si>
  <si>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</si>
  <si>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</si>
  <si>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</si>
  <si>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</si>
  <si>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</si>
  <si>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</si>
  <si>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</si>
  <si>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</si>
  <si>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</si>
  <si>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</si>
  <si>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</si>
  <si>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</si>
  <si>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</si>
  <si>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Ракитянский район</t>
  </si>
  <si>
    <t>Борисовка - Пролетарский,                                        км 27+410 - км 30+230</t>
  </si>
  <si>
    <t>Старооскольский городской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</si>
  <si>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</si>
  <si>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</si>
  <si>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 xml:space="preserve">      </t>
  </si>
  <si>
    <t>Подъезд к селу Грушевка,                                             км 0+000 - км 3+600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</si>
  <si>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</si>
  <si>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</si>
  <si>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>«Головчино - Доброполье» - Горьковский,              км 0+000 - км 1+700</t>
  </si>
  <si>
    <t>Ивнянский район</t>
  </si>
  <si>
    <t>Красненский район</t>
  </si>
  <si>
    <t>ИТОГО по Ракитянскому району:</t>
  </si>
  <si>
    <t>Ульяновка - Голофеевка,                                км 0+000 - км 6+600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</si>
  <si>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</si>
  <si>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</si>
  <si>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</si>
  <si>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</si>
  <si>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</si>
  <si>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</si>
  <si>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</si>
  <si>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 xml:space="preserve"> - регионального значения </t>
  </si>
  <si>
    <t xml:space="preserve"> - местного значения</t>
  </si>
  <si>
    <t>Автодороги местного значения</t>
  </si>
  <si>
    <t>«Белгород - Грайворон» - Козинка,                      км 37+000 - км 42+630</t>
  </si>
  <si>
    <t xml:space="preserve">Автодороги регионального значения </t>
  </si>
  <si>
    <t>Подъезд к с. Грушевка</t>
  </si>
  <si>
    <t>«Крым» - Ивня - Ракитное - Курасовка,                 км 0+000 - км 2+300</t>
  </si>
  <si>
    <t>Короча - Чернянка - Красное - Новосолдатка, км 0+000 - км 3+900</t>
  </si>
  <si>
    <t>Владимировка - Новоалександровка - Ларисовка, км 1+820 - км 8+630</t>
  </si>
  <si>
    <t>Артельное - Булановка - Бершаково,                          км 0+000 - км 8+320</t>
  </si>
  <si>
    <t>город Белгород</t>
  </si>
  <si>
    <t>резерв</t>
  </si>
  <si>
    <t>муниципаль-ный бюджет</t>
  </si>
  <si>
    <t xml:space="preserve">ВСЕГО  по автодорогам, </t>
  </si>
  <si>
    <t xml:space="preserve"> Чернянский район</t>
  </si>
  <si>
    <t>Прохоровский район</t>
  </si>
  <si>
    <t>50,9</t>
  </si>
  <si>
    <t xml:space="preserve"> </t>
  </si>
  <si>
    <t>Краснояружский район</t>
  </si>
  <si>
    <t xml:space="preserve">Чернянский район </t>
  </si>
  <si>
    <t xml:space="preserve">Ремонт моста через р. Искринка                                                  на км 9+920 (левый)                                               автодороги Белгород - Грайворон - Козинка 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</si>
  <si>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</si>
  <si>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</si>
  <si>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>Ремонт моста через р.Северский Донец   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</si>
  <si>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 II-II (ул. Ерошенко) в городе Старый Оскол </t>
  </si>
  <si>
    <t xml:space="preserve">Ремонт путепровода над автомобильной дорогой  и трамвайными путями                                  на км 15+700 автодороги  Магистраль 1-1                    </t>
  </si>
  <si>
    <t>Прохоровский  район</t>
  </si>
  <si>
    <t>Подольхи - Гнездиловка - Черновка,                      км 8+300 - км 11+800</t>
  </si>
  <si>
    <t>«Короча - Чернянка - Красное» - Новая Масловка, км 0+000 - км 5+000</t>
  </si>
  <si>
    <t xml:space="preserve">Региональный проект «Региональная и местная дорожная сеть», входящий в национальный проект </t>
  </si>
  <si>
    <t>Капитально отремонтировано автодорог</t>
  </si>
  <si>
    <t>Иващенково - Березки, км 0+000 - км 2+500</t>
  </si>
  <si>
    <t>Отремонтировано автомобильных дорог</t>
  </si>
  <si>
    <t xml:space="preserve">Разумное - Севрюково - Новосадовый,                                                       км 8+245 - км 14+635 </t>
  </si>
  <si>
    <t>«Новый Оскол - Валуйки - Ровеньки» - Колесников, км 0+000 - км 3+000</t>
  </si>
  <si>
    <t xml:space="preserve">Беломестное - Слоновка - Николаевка - Львовка, км 0+000 - км 12+020;  км 23+485 - км 25+215                                       </t>
  </si>
  <si>
    <t>Ровеньский район</t>
  </si>
  <si>
    <t xml:space="preserve">Капитальный ремонт моста                                                            через р. Искринка на км 9+920 (правый)                                                                   автодороги Белгород - Грайворон - Козинка </t>
  </si>
  <si>
    <t xml:space="preserve">Ремонт моста через суходол                                  на км 10+600 автодороги Скородное - Кочки </t>
  </si>
  <si>
    <t>Ремонт моста через р. Корень на км 8+900                                                                    автодороги Самойловка - Кощеево - Хмелевое</t>
  </si>
  <si>
    <t xml:space="preserve">Ремонт моста через р. Короча на км 0+000              автодороги Подъезд к селу Бехтеевка </t>
  </si>
  <si>
    <t xml:space="preserve">Ремонт путепровода над автодорогой            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</si>
  <si>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</si>
  <si>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                         на км 4+700 Магистрали 1-1                                                </t>
  </si>
  <si>
    <t>Ремонт моста через р. Боровая Потудань                на км 0+330 автодороги  Владимировка - Боровая</t>
  </si>
  <si>
    <t xml:space="preserve"> - капитально отремонтировано</t>
  </si>
  <si>
    <t xml:space="preserve"> - отремонтировано</t>
  </si>
  <si>
    <t>Приложение  № 1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и дорожной сети Белгородской области»</t>
  </si>
  <si>
    <t>ИТОГО по Белгородскому району</t>
  </si>
  <si>
    <t>ИТОГО по Борисовскому району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</si>
  <si>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</si>
  <si>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</si>
  <si>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</si>
  <si>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</si>
  <si>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Корочанскому району</t>
  </si>
  <si>
    <t>ИТОГО по Ивнянскому району</t>
  </si>
  <si>
    <t>ИТОГО по Красненскому району</t>
  </si>
  <si>
    <t>ИТОГО по Красногвардейскому району</t>
  </si>
  <si>
    <t>ИТОГО по Краснояружскому району</t>
  </si>
  <si>
    <t>ИТОГО по Прохоровскому району</t>
  </si>
  <si>
    <t>ИТОГО по Ровеньскому району</t>
  </si>
  <si>
    <t>ИТОГО по Старооскольскому городскому округу</t>
  </si>
  <si>
    <t>Красная Яруга - Степное - Семейный -                       Илек-Кошары, км 3+700 - 6+800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</si>
  <si>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</si>
  <si>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 xml:space="preserve">ВСЕГО  по искусственным сооружениям  </t>
  </si>
  <si>
    <t xml:space="preserve">Капитальный ремонт путепровода                                            через железную дорогу на км 40+700                                             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</si>
  <si>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</si>
  <si>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 xml:space="preserve">Ремонт моста через реку Оскол на участке                         км  46+526 автодороги  Короча - Чернянка - Красное </t>
  </si>
  <si>
    <t>Ремонт моста через реку Нежеголь                         на ул. Пески в с. Нежеголь</t>
  </si>
  <si>
    <t xml:space="preserve">Перечень объектов по ремонту  автомобильных дорог и искусственных сооружений на них на 2024 - 2026 годы в рамках национального проекта «Безопасные качественные дороги» </t>
  </si>
  <si>
    <t>ИТОГО по Чернянскому району</t>
  </si>
  <si>
    <t>ИТОГО по городу Белгороду</t>
  </si>
  <si>
    <t xml:space="preserve"> - регионального значения, из них: </t>
  </si>
  <si>
    <t xml:space="preserve"> - местного значения, из них: </t>
  </si>
  <si>
    <t xml:space="preserve">«Бирюч - Калиново - Никитовка» - Арнаутово, км 0+000 -  км 2+800 </t>
  </si>
  <si>
    <t>Стрелецкое - Раково,  км 0+000 -  км 5+050</t>
  </si>
  <si>
    <t>«Новый Оскол - Валуйки - Ровеньки» - Принцевка, км 0+032 - км 0+900</t>
  </si>
  <si>
    <t>«Валуйки - Казинка - Вериговка» - Конопляновка» - Гладково,                                    км 0+000 - км 4+764</t>
  </si>
  <si>
    <t>Скородное - Кочки, км 7+100 - км 11+000</t>
  </si>
  <si>
    <t>«Короча - Чернянка - Красное» - Бубново - Васильдол, км 0+000 - км 4+100</t>
  </si>
  <si>
    <t>Красное - Польниково, км 0+000 - км 4+200</t>
  </si>
  <si>
    <t>«Котляров - Ливенка» - Ковалев, км 0+000 - км 4+400</t>
  </si>
  <si>
    <t>Шаталовка - Потудань, км 0+000 - км 6+000</t>
  </si>
  <si>
    <t>Красный Остров - Русская Халань,                         км 0+000 - км 3+800</t>
  </si>
  <si>
    <t>Жданов - Гостищево, км 0+000 - км 3+230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</si>
  <si>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</si>
  <si>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Красное» - Филиппово - Верхний Моисей</t>
  </si>
  <si>
    <t>Капитальный ремонт моста через р. Ворскла на км 0+250 автомобильной дороги Борисовка - Пролетарский</t>
  </si>
  <si>
    <t>«Крым» - Комсомольский - Красиво,                                 км 0+020 - км 2+975; км 6+670 - км 9+020</t>
  </si>
  <si>
    <t>Борисовка - Пролетарский - Октябрьская Готня - станция Кулиновка - Красный Куток, км 0+015 - км 4+000</t>
  </si>
  <si>
    <t xml:space="preserve"> «Волоконовка - Ливенка - Никитовка» - Пыточный - Покровка - Шеншиновка,                     км 6+850 - км 14+000</t>
  </si>
  <si>
    <t>Ивня - Песчаное - Череново,                                      км 0+000 - км 3+070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</si>
  <si>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</si>
  <si>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</si>
  <si>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приложение по опорной сети в СКДФ</t>
  </si>
  <si>
    <t xml:space="preserve">Новый Оскол - Ниновка, км 0+000 - км 2+226 </t>
  </si>
  <si>
    <t>«Томаровка -Красная Яруга - Илек-Пеньковка - Колотиловка» - Коровино,                                                       км  6+300 - км 9+800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</si>
  <si>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</si>
  <si>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авансы 2023 год</t>
  </si>
  <si>
    <t>Ремонт моста через р. Лозовая на км 66+500 автодороги Белгород - Грайворон - Козинка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</si>
  <si>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</si>
  <si>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                             в г. Новый Оскол, ул. Кооперативная                   </t>
  </si>
  <si>
    <t>Алексеевский муниципальный округ</t>
  </si>
  <si>
    <t>ИТОГО по Алексеевскому муниципальному                       округу</t>
  </si>
  <si>
    <t>Валуйский муниципальный округ</t>
  </si>
  <si>
    <t>ИТОГО по Валуйскому муниципальному округу</t>
  </si>
  <si>
    <t>Новооскольский муниципальный округ</t>
  </si>
  <si>
    <t>ИТОГО по Новооскольскому                                муниципальному округу</t>
  </si>
  <si>
    <t>Шебекинский муниципальный округ</t>
  </si>
  <si>
    <t>ИТОГО по Шебекинскому муниципальному округу</t>
  </si>
  <si>
    <t>Яковлевский муниципальный округ</t>
  </si>
  <si>
    <t>ИТОГО по Яковлевскому муниципальному округу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</si>
</sst>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0.00000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  <xf numFmtId="0" fontId="2" fillId="0" borderId="0"/>
    <xf numFmtId="0" fontId="10" fillId="0" borderId="0"/>
    <xf numFmtId="0" fontId="17" fillId="0" borderId="0"/>
  </cellStyleXfs>
  <cellXfs count="174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2" fillId="0" borderId="0" xfId="2" applyFont="1" applyFill="1" applyAlignment="1">
      <alignment vertical="center" wrapText="1"/>
    </xf>
    <xf numFmtId="0" fontId="12" fillId="0" borderId="0" xfId="2" applyFont="1" applyAlignment="1">
      <alignment vertical="center" wrapText="1"/>
    </xf>
    <xf numFmtId="0" fontId="2" fillId="0" borderId="0" xfId="2" applyFill="1"/>
    <xf numFmtId="0" fontId="12" fillId="0" borderId="0" xfId="2" applyFont="1" applyFill="1" applyAlignment="1">
      <alignment horizontal="center" vertical="center" wrapText="1"/>
    </xf>
    <xf numFmtId="0" fontId="12" fillId="0" borderId="0" xfId="2" applyFont="1"/>
    <xf numFmtId="0" fontId="12" fillId="0" borderId="0" xfId="2" applyFont="1" applyFill="1"/>
    <xf numFmtId="0" fontId="4" fillId="0" borderId="0" xfId="2" applyFont="1" applyFill="1" applyAlignment="1">
      <alignment horizontal="center"/>
    </xf>
    <xf numFmtId="0" fontId="8" fillId="0" borderId="2" xfId="2" applyFont="1" applyFill="1" applyBorder="1" applyAlignment="1">
      <alignment horizontal="center" vertical="center"/>
    </xf>
    <xf numFmtId="0" fontId="0" fillId="0" borderId="1" xfId="0" applyFill="1" applyBorder="1"/>
    <xf numFmtId="165" fontId="9" fillId="0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168" fontId="8" fillId="0" borderId="4" xfId="2" applyNumberFormat="1" applyFont="1" applyFill="1" applyBorder="1" applyAlignment="1">
      <alignment horizontal="center" vertical="center" wrapText="1"/>
    </xf>
    <xf numFmtId="164" fontId="9" fillId="0" borderId="4" xfId="1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justify" wrapText="1"/>
    </xf>
    <xf numFmtId="0" fontId="9" fillId="0" borderId="3" xfId="2" applyFont="1" applyFill="1" applyBorder="1"/>
    <xf numFmtId="0" fontId="9" fillId="0" borderId="8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justify" wrapText="1"/>
    </xf>
    <xf numFmtId="172" fontId="9" fillId="0" borderId="1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top" wrapText="1"/>
    </xf>
    <xf numFmtId="164" fontId="9" fillId="0" borderId="4" xfId="2" applyNumberFormat="1" applyFont="1" applyFill="1" applyBorder="1" applyAlignment="1">
      <alignment horizontal="center" vertical="center" wrapText="1"/>
    </xf>
    <xf numFmtId="3" fontId="9" fillId="0" borderId="4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172" fontId="8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vertical="center" wrapText="1"/>
    </xf>
    <xf numFmtId="172" fontId="8" fillId="0" borderId="26" xfId="2" applyNumberFormat="1" applyFont="1" applyFill="1" applyBorder="1" applyAlignment="1">
      <alignment horizontal="center" vertical="center" wrapText="1"/>
    </xf>
    <xf numFmtId="171" fontId="8" fillId="0" borderId="26" xfId="0" applyNumberFormat="1" applyFont="1" applyFill="1" applyBorder="1" applyAlignment="1">
      <alignment horizontal="center" vertical="center"/>
    </xf>
    <xf numFmtId="0" fontId="2" fillId="0" borderId="26" xfId="2" applyFill="1" applyBorder="1"/>
    <xf numFmtId="0" fontId="12" fillId="0" borderId="27" xfId="2" applyFont="1" applyFill="1" applyBorder="1" applyAlignment="1">
      <alignment vertical="center" wrapText="1"/>
    </xf>
    <xf numFmtId="0" fontId="12" fillId="0" borderId="21" xfId="2" applyFont="1" applyFill="1" applyBorder="1" applyAlignment="1">
      <alignment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9" fillId="0" borderId="9" xfId="2" applyNumberFormat="1" applyFont="1" applyFill="1" applyBorder="1" applyAlignment="1">
      <alignment horizontal="center" vertical="center" wrapText="1"/>
    </xf>
    <xf numFmtId="3" fontId="9" fillId="0" borderId="9" xfId="2" applyNumberFormat="1" applyFont="1" applyFill="1" applyBorder="1" applyAlignment="1">
      <alignment horizontal="center" vertical="center" wrapText="1"/>
    </xf>
    <xf numFmtId="3" fontId="8" fillId="0" borderId="9" xfId="2" applyNumberFormat="1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left" vertical="top" wrapText="1"/>
    </xf>
    <xf numFmtId="0" fontId="9" fillId="0" borderId="16" xfId="2" applyFont="1" applyFill="1" applyBorder="1" applyAlignment="1">
      <alignment horizontal="center" vertical="center" wrapText="1"/>
    </xf>
    <xf numFmtId="167" fontId="9" fillId="0" borderId="16" xfId="2" applyNumberFormat="1" applyFont="1" applyFill="1" applyBorder="1" applyAlignment="1">
      <alignment horizontal="center" vertical="center" wrapText="1"/>
    </xf>
    <xf numFmtId="164" fontId="9" fillId="0" borderId="16" xfId="2" applyNumberFormat="1" applyFont="1" applyFill="1" applyBorder="1" applyAlignment="1">
      <alignment horizontal="center" vertical="center" wrapText="1"/>
    </xf>
    <xf numFmtId="164" fontId="9" fillId="0" borderId="20" xfId="12" applyNumberFormat="1" applyFont="1" applyFill="1" applyBorder="1" applyAlignment="1">
      <alignment horizontal="center" vertical="center" wrapText="1"/>
    </xf>
    <xf numFmtId="0" fontId="8" fillId="0" borderId="4" xfId="11" applyFont="1" applyFill="1" applyBorder="1" applyAlignment="1">
      <alignment horizontal="center" vertical="center" wrapText="1"/>
    </xf>
    <xf numFmtId="173" fontId="2" fillId="0" borderId="0" xfId="2" applyNumberFormat="1"/>
    <xf numFmtId="0" fontId="3" fillId="0" borderId="22" xfId="2" applyFont="1" applyFill="1" applyBorder="1"/>
    <xf numFmtId="0" fontId="15" fillId="0" borderId="21" xfId="0" applyNumberFormat="1" applyFont="1" applyFill="1" applyBorder="1" applyAlignment="1">
      <alignment horizontal="center" vertical="top"/>
    </xf>
    <xf numFmtId="0" fontId="15" fillId="0" borderId="28" xfId="0" applyNumberFormat="1" applyFont="1" applyFill="1" applyBorder="1" applyAlignment="1">
      <alignment horizontal="center" vertical="top"/>
    </xf>
    <xf numFmtId="0" fontId="14" fillId="0" borderId="9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left" vertical="top" wrapText="1"/>
    </xf>
    <xf numFmtId="164" fontId="14" fillId="0" borderId="9" xfId="0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172" fontId="14" fillId="0" borderId="1" xfId="0" applyNumberFormat="1" applyFont="1" applyFill="1" applyBorder="1" applyAlignment="1">
      <alignment horizontal="center"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vertical="top" wrapText="1"/>
    </xf>
    <xf numFmtId="0" fontId="13" fillId="0" borderId="26" xfId="2" applyFont="1" applyFill="1" applyBorder="1" applyAlignment="1">
      <alignment vertical="center" wrapText="1"/>
    </xf>
    <xf numFmtId="0" fontId="12" fillId="0" borderId="0" xfId="2" applyFont="1" applyFill="1" applyAlignment="1">
      <alignment horizontal="center"/>
    </xf>
    <xf numFmtId="164" fontId="3" fillId="0" borderId="0" xfId="2" applyNumberFormat="1" applyFont="1" applyFill="1"/>
    <xf numFmtId="164" fontId="18" fillId="0" borderId="4" xfId="2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vertical="center" wrapText="1"/>
    </xf>
    <xf numFmtId="164" fontId="9" fillId="0" borderId="0" xfId="2" applyNumberFormat="1" applyFont="1" applyAlignment="1">
      <alignment vertical="center" wrapText="1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49" fontId="8" fillId="0" borderId="6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0" xfId="10" applyNumberFormat="1" applyFont="1" applyFill="1" applyBorder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5" fillId="0" borderId="12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 wrapText="1"/>
    </xf>
    <xf numFmtId="0" fontId="8" fillId="0" borderId="3" xfId="11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left" vertical="center" wrapText="1"/>
    </xf>
    <xf numFmtId="0" fontId="8" fillId="0" borderId="26" xfId="2" applyFont="1" applyFill="1" applyBorder="1" applyAlignment="1">
      <alignment horizontal="left" vertical="center" wrapText="1"/>
    </xf>
    <xf numFmtId="0" fontId="8" fillId="0" borderId="14" xfId="2" applyFont="1" applyFill="1" applyBorder="1" applyAlignment="1">
      <alignment horizontal="left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</cellXfs>
  <cellStyles count="14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21_СВОД по районам" xfId="13"/>
    <cellStyle name="Обычный 3" xfId="8"/>
    <cellStyle name="Обычный 4" xfId="9"/>
    <cellStyle name="Обычный 5" xfId="12"/>
    <cellStyle name="Обычный_3-РЕМОНТ_МОСТОВ на 2011год" xfId="10"/>
    <cellStyle name="Обычный_ВЫПОЛНЕНИЕ программы ИЖС-2010 год" xfId="11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autoPageBreaks="0"/>
  </sheetPr>
  <dimension ref="A1:BA397"/>
  <sheetViews>
    <sheetView tabSelected="1" view="pageBreakPreview" zoomScale="72" zoomScaleNormal="75" zoomScaleSheetLayoutView="72" workbookViewId="0">
      <pane xSplit="3" ySplit="9" topLeftCell="D113" activePane="bottomRight" state="frozen"/>
      <selection activeCell="A6" sqref="A6"/>
      <selection pane="topRight" activeCell="D6" sqref="D6"/>
      <selection pane="bottomLeft" activeCell="A13" sqref="A13"/>
      <selection pane="bottomRight" activeCell="E162" sqref="E162"/>
    </sheetView>
  </sheetViews>
  <sheetFormatPr defaultColWidth="9.140625" defaultRowHeight="16.5"/>
  <cols>
    <col min="1" max="1" width="7.140625" style="111" customWidth="1"/>
    <col min="2" max="2" width="57.7109375" style="42" customWidth="1"/>
    <col min="3" max="3" width="13.7109375" style="42" customWidth="1"/>
    <col min="4" max="4" width="18.5703125" style="42" hidden="1" customWidth="1"/>
    <col min="5" max="5" width="14.140625" style="42" customWidth="1"/>
    <col min="6" max="6" width="13.7109375" style="42" customWidth="1"/>
    <col min="7" max="7" width="22" style="42" customWidth="1"/>
    <col min="8" max="8" width="9.7109375" style="42" hidden="1" customWidth="1"/>
    <col min="9" max="9" width="16.140625" style="42" hidden="1" customWidth="1"/>
    <col min="10" max="10" width="16.42578125" style="42" hidden="1" customWidth="1"/>
    <col min="11" max="11" width="14.140625" style="42" hidden="1" customWidth="1"/>
    <col min="12" max="12" width="10.85546875" style="42" hidden="1" customWidth="1"/>
    <col min="13" max="13" width="16.7109375" style="42" hidden="1" customWidth="1"/>
    <col min="14" max="14" width="19" style="42" hidden="1" customWidth="1"/>
    <col min="15" max="15" width="16.5703125" style="42" hidden="1" customWidth="1"/>
    <col min="16" max="16" width="11.5703125" style="42" hidden="1" customWidth="1"/>
    <col min="17" max="17" width="17.7109375" style="42" hidden="1" customWidth="1"/>
    <col min="18" max="18" width="19.28515625" style="42" hidden="1" customWidth="1"/>
    <col min="19" max="19" width="18.28515625" style="42" hidden="1" customWidth="1"/>
    <col min="20" max="20" width="12" style="42" customWidth="1"/>
    <col min="21" max="21" width="13.7109375" style="42" customWidth="1"/>
    <col min="22" max="22" width="19" style="42" customWidth="1"/>
    <col min="23" max="23" width="18.140625" style="42" customWidth="1"/>
    <col min="24" max="24" width="17.28515625" style="42" customWidth="1"/>
    <col min="25" max="25" width="16.5703125" style="42" customWidth="1"/>
    <col min="26" max="26" width="12.140625" style="42" customWidth="1"/>
    <col min="27" max="27" width="13.5703125" style="42" customWidth="1"/>
    <col min="28" max="28" width="19.28515625" style="42" customWidth="1"/>
    <col min="29" max="29" width="20.7109375" style="42" customWidth="1"/>
    <col min="30" max="30" width="16.85546875" style="42" customWidth="1"/>
    <col min="31" max="31" width="17.28515625" style="42" customWidth="1"/>
    <col min="32" max="32" width="10.85546875" style="42" customWidth="1"/>
    <col min="33" max="33" width="12.42578125" style="42" customWidth="1"/>
    <col min="34" max="34" width="18.42578125" style="42" customWidth="1"/>
    <col min="35" max="35" width="17.28515625" style="42" customWidth="1"/>
    <col min="36" max="36" width="17.85546875" style="42" customWidth="1"/>
    <col min="37" max="37" width="52.7109375" style="41" customWidth="1"/>
    <col min="38" max="38" width="14.7109375" style="41" customWidth="1"/>
    <col min="39" max="39" width="19.7109375" style="41" customWidth="1"/>
    <col min="40" max="51" width="9.140625" style="41" customWidth="1"/>
    <col min="52" max="52" width="10.28515625" style="41" bestFit="1" customWidth="1"/>
    <col min="53" max="53" width="19.5703125" style="41" customWidth="1"/>
    <col min="54" max="16384" width="9.140625" style="41"/>
  </cols>
  <sheetData>
    <row r="1" spans="1:47" s="4" customFormat="1" ht="69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T1" s="112"/>
      <c r="U1" s="43"/>
      <c r="V1" s="43"/>
      <c r="W1" s="43"/>
      <c r="X1" s="43"/>
      <c r="Y1" s="43"/>
      <c r="Z1" s="127" t="s">
        <v>98</v>
      </c>
      <c r="AA1" s="127"/>
      <c r="AB1" s="127"/>
      <c r="AC1" s="127"/>
      <c r="AD1" s="127"/>
      <c r="AE1" s="127"/>
      <c r="AF1" s="127"/>
      <c r="AG1" s="127"/>
      <c r="AH1" s="127"/>
      <c r="AI1" s="116"/>
      <c r="AJ1" s="116"/>
      <c r="AK1" s="7"/>
      <c r="AL1" s="7"/>
      <c r="AM1" s="7"/>
      <c r="AN1" s="7"/>
      <c r="AO1" s="7"/>
    </row>
    <row r="2" spans="1:47" s="4" customFormat="1" ht="19.899999999999999" customHeight="1">
      <c r="A2" s="1"/>
      <c r="B2" s="2"/>
      <c r="C2" s="2"/>
      <c r="D2" s="2"/>
      <c r="E2" s="2"/>
      <c r="F2" s="2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8"/>
      <c r="AL2" s="8"/>
    </row>
    <row r="3" spans="1:47" s="4" customFormat="1" ht="36.75" customHeight="1">
      <c r="A3" s="128" t="s">
        <v>120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17"/>
      <c r="AJ3" s="117"/>
      <c r="AK3" s="8"/>
      <c r="AL3" s="8"/>
    </row>
    <row r="4" spans="1:47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112"/>
      <c r="Y4" s="2"/>
      <c r="Z4" s="2"/>
      <c r="AA4" s="2"/>
      <c r="AB4" s="2"/>
      <c r="AC4" s="112"/>
      <c r="AD4" s="112"/>
      <c r="AE4" s="2"/>
      <c r="AF4" s="2"/>
      <c r="AG4" s="2"/>
      <c r="AH4" s="112"/>
      <c r="AI4" s="112"/>
      <c r="AJ4" s="2"/>
      <c r="AK4" s="8"/>
      <c r="AL4" s="8"/>
    </row>
    <row r="5" spans="1:47" s="4" customFormat="1" ht="34.5" customHeight="1">
      <c r="A5" s="129" t="s">
        <v>1</v>
      </c>
      <c r="B5" s="132" t="s">
        <v>2</v>
      </c>
      <c r="C5" s="132" t="s">
        <v>45</v>
      </c>
      <c r="D5" s="132" t="s">
        <v>44</v>
      </c>
      <c r="E5" s="135" t="s">
        <v>50</v>
      </c>
      <c r="F5" s="135"/>
      <c r="G5" s="135"/>
      <c r="H5" s="137" t="s">
        <v>3</v>
      </c>
      <c r="I5" s="137"/>
      <c r="J5" s="137"/>
      <c r="K5" s="137"/>
      <c r="L5" s="137" t="s">
        <v>4</v>
      </c>
      <c r="M5" s="137"/>
      <c r="N5" s="137"/>
      <c r="O5" s="137"/>
      <c r="P5" s="137" t="s">
        <v>5</v>
      </c>
      <c r="Q5" s="137"/>
      <c r="R5" s="137"/>
      <c r="S5" s="137"/>
      <c r="T5" s="138" t="s">
        <v>49</v>
      </c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40"/>
      <c r="AK5" s="9"/>
      <c r="AL5" s="9"/>
      <c r="AM5" s="10"/>
      <c r="AN5" s="10"/>
      <c r="AO5" s="10"/>
      <c r="AP5" s="10"/>
      <c r="AQ5" s="10"/>
      <c r="AR5" s="10"/>
      <c r="AS5" s="10"/>
      <c r="AT5" s="10"/>
      <c r="AU5" s="10"/>
    </row>
    <row r="6" spans="1:47" s="4" customFormat="1" ht="29.25" customHeight="1">
      <c r="A6" s="130"/>
      <c r="B6" s="133"/>
      <c r="C6" s="133"/>
      <c r="D6" s="133"/>
      <c r="E6" s="136"/>
      <c r="F6" s="136"/>
      <c r="G6" s="136"/>
      <c r="H6" s="141" t="s">
        <v>8</v>
      </c>
      <c r="I6" s="143" t="s">
        <v>9</v>
      </c>
      <c r="J6" s="143"/>
      <c r="K6" s="143"/>
      <c r="L6" s="141" t="s">
        <v>8</v>
      </c>
      <c r="M6" s="143" t="s">
        <v>9</v>
      </c>
      <c r="N6" s="143"/>
      <c r="O6" s="143"/>
      <c r="P6" s="141" t="s">
        <v>8</v>
      </c>
      <c r="Q6" s="143" t="s">
        <v>9</v>
      </c>
      <c r="R6" s="143"/>
      <c r="S6" s="143"/>
      <c r="T6" s="144" t="s">
        <v>6</v>
      </c>
      <c r="U6" s="145"/>
      <c r="V6" s="145"/>
      <c r="W6" s="145"/>
      <c r="X6" s="145"/>
      <c r="Y6" s="146"/>
      <c r="Z6" s="144" t="s">
        <v>7</v>
      </c>
      <c r="AA6" s="145"/>
      <c r="AB6" s="145"/>
      <c r="AC6" s="145"/>
      <c r="AD6" s="145"/>
      <c r="AE6" s="146"/>
      <c r="AF6" s="144" t="s">
        <v>48</v>
      </c>
      <c r="AG6" s="145"/>
      <c r="AH6" s="145"/>
      <c r="AI6" s="145"/>
      <c r="AJ6" s="147"/>
      <c r="AK6" s="9"/>
      <c r="AL6" s="11"/>
      <c r="AM6" s="10"/>
      <c r="AN6" s="10"/>
      <c r="AO6" s="10"/>
      <c r="AP6" s="10"/>
      <c r="AQ6" s="10"/>
      <c r="AR6" s="10"/>
      <c r="AS6" s="10"/>
      <c r="AT6" s="10"/>
      <c r="AU6" s="10"/>
    </row>
    <row r="7" spans="1:47" s="4" customFormat="1" ht="33.950000000000003" customHeight="1">
      <c r="A7" s="130"/>
      <c r="B7" s="133"/>
      <c r="C7" s="133"/>
      <c r="D7" s="133"/>
      <c r="E7" s="136" t="s">
        <v>46</v>
      </c>
      <c r="F7" s="136"/>
      <c r="G7" s="148" t="s">
        <v>9</v>
      </c>
      <c r="H7" s="141"/>
      <c r="I7" s="143" t="s">
        <v>10</v>
      </c>
      <c r="J7" s="143" t="s">
        <v>11</v>
      </c>
      <c r="K7" s="143"/>
      <c r="L7" s="141"/>
      <c r="M7" s="143" t="s">
        <v>10</v>
      </c>
      <c r="N7" s="143" t="s">
        <v>11</v>
      </c>
      <c r="O7" s="143"/>
      <c r="P7" s="141"/>
      <c r="Q7" s="143" t="s">
        <v>10</v>
      </c>
      <c r="R7" s="143" t="s">
        <v>11</v>
      </c>
      <c r="S7" s="143"/>
      <c r="T7" s="136" t="s">
        <v>46</v>
      </c>
      <c r="U7" s="136"/>
      <c r="V7" s="148" t="s">
        <v>9</v>
      </c>
      <c r="W7" s="150" t="s">
        <v>11</v>
      </c>
      <c r="X7" s="151"/>
      <c r="Y7" s="152"/>
      <c r="Z7" s="136" t="s">
        <v>46</v>
      </c>
      <c r="AA7" s="136"/>
      <c r="AB7" s="148" t="s">
        <v>9</v>
      </c>
      <c r="AC7" s="150" t="s">
        <v>11</v>
      </c>
      <c r="AD7" s="151"/>
      <c r="AE7" s="152"/>
      <c r="AF7" s="136" t="s">
        <v>46</v>
      </c>
      <c r="AG7" s="136"/>
      <c r="AH7" s="153" t="s">
        <v>9</v>
      </c>
      <c r="AI7" s="150" t="s">
        <v>11</v>
      </c>
      <c r="AJ7" s="155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</row>
    <row r="8" spans="1:47" s="4" customFormat="1" ht="59.45" customHeight="1">
      <c r="A8" s="131"/>
      <c r="B8" s="134"/>
      <c r="C8" s="134"/>
      <c r="D8" s="133"/>
      <c r="E8" s="44" t="s">
        <v>8</v>
      </c>
      <c r="F8" s="44" t="s">
        <v>47</v>
      </c>
      <c r="G8" s="149"/>
      <c r="H8" s="142"/>
      <c r="I8" s="158"/>
      <c r="J8" s="120" t="s">
        <v>12</v>
      </c>
      <c r="K8" s="120" t="s">
        <v>13</v>
      </c>
      <c r="L8" s="142"/>
      <c r="M8" s="158"/>
      <c r="N8" s="120" t="s">
        <v>12</v>
      </c>
      <c r="O8" s="120" t="s">
        <v>13</v>
      </c>
      <c r="P8" s="142"/>
      <c r="Q8" s="158"/>
      <c r="R8" s="120" t="s">
        <v>12</v>
      </c>
      <c r="S8" s="120" t="s">
        <v>14</v>
      </c>
      <c r="T8" s="44" t="s">
        <v>8</v>
      </c>
      <c r="U8" s="44" t="s">
        <v>47</v>
      </c>
      <c r="V8" s="149"/>
      <c r="W8" s="118" t="s">
        <v>14</v>
      </c>
      <c r="X8" s="118" t="s">
        <v>12</v>
      </c>
      <c r="Y8" s="120" t="s">
        <v>63</v>
      </c>
      <c r="Z8" s="44" t="s">
        <v>8</v>
      </c>
      <c r="AA8" s="44" t="s">
        <v>47</v>
      </c>
      <c r="AB8" s="149"/>
      <c r="AC8" s="118" t="s">
        <v>14</v>
      </c>
      <c r="AD8" s="118" t="s">
        <v>12</v>
      </c>
      <c r="AE8" s="120" t="s">
        <v>63</v>
      </c>
      <c r="AF8" s="44" t="s">
        <v>8</v>
      </c>
      <c r="AG8" s="44" t="s">
        <v>47</v>
      </c>
      <c r="AH8" s="154"/>
      <c r="AI8" s="118" t="s">
        <v>14</v>
      </c>
      <c r="AJ8" s="62" t="s">
        <v>12</v>
      </c>
      <c r="AK8" s="12"/>
      <c r="AL8" s="9"/>
      <c r="AM8" s="10"/>
      <c r="AN8" s="10"/>
      <c r="AO8" s="10"/>
      <c r="AP8" s="10"/>
      <c r="AQ8" s="10"/>
      <c r="AR8" s="10"/>
      <c r="AS8" s="10"/>
      <c r="AT8" s="10"/>
      <c r="AU8" s="10"/>
    </row>
    <row r="9" spans="1:47" s="4" customFormat="1" ht="36.75" customHeight="1" thickBot="1">
      <c r="A9" s="63">
        <v>1</v>
      </c>
      <c r="B9" s="64">
        <v>2</v>
      </c>
      <c r="C9" s="64">
        <v>3</v>
      </c>
      <c r="D9" s="89"/>
      <c r="E9" s="64">
        <v>4</v>
      </c>
      <c r="F9" s="64">
        <v>5</v>
      </c>
      <c r="G9" s="64">
        <v>6</v>
      </c>
      <c r="H9" s="64">
        <v>7</v>
      </c>
      <c r="I9" s="64"/>
      <c r="J9" s="64"/>
      <c r="K9" s="64"/>
      <c r="L9" s="64"/>
      <c r="M9" s="64"/>
      <c r="N9" s="64"/>
      <c r="O9" s="64"/>
      <c r="P9" s="64"/>
      <c r="Q9" s="64">
        <v>6</v>
      </c>
      <c r="R9" s="64">
        <v>7</v>
      </c>
      <c r="S9" s="64">
        <v>8</v>
      </c>
      <c r="T9" s="64">
        <v>7</v>
      </c>
      <c r="U9" s="64">
        <v>8</v>
      </c>
      <c r="V9" s="64">
        <v>9</v>
      </c>
      <c r="W9" s="64">
        <v>10</v>
      </c>
      <c r="X9" s="64">
        <v>11</v>
      </c>
      <c r="Y9" s="64">
        <v>12</v>
      </c>
      <c r="Z9" s="64">
        <v>13</v>
      </c>
      <c r="AA9" s="64">
        <v>14</v>
      </c>
      <c r="AB9" s="64">
        <v>15</v>
      </c>
      <c r="AC9" s="64">
        <v>16</v>
      </c>
      <c r="AD9" s="64">
        <v>17</v>
      </c>
      <c r="AE9" s="64">
        <v>18</v>
      </c>
      <c r="AF9" s="64">
        <v>19</v>
      </c>
      <c r="AG9" s="64">
        <v>20</v>
      </c>
      <c r="AH9" s="65">
        <v>21</v>
      </c>
      <c r="AI9" s="64">
        <v>22</v>
      </c>
      <c r="AJ9" s="66">
        <v>23</v>
      </c>
      <c r="AK9" s="12"/>
      <c r="AL9" s="9"/>
      <c r="AM9" s="10"/>
      <c r="AN9" s="10"/>
      <c r="AO9" s="10"/>
      <c r="AP9" s="10"/>
      <c r="AQ9" s="10"/>
      <c r="AR9" s="10"/>
      <c r="AS9" s="10"/>
      <c r="AT9" s="10"/>
      <c r="AU9" s="10"/>
    </row>
    <row r="10" spans="1:47" s="4" customFormat="1" ht="49.5" customHeight="1">
      <c r="A10" s="156" t="s">
        <v>80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90"/>
      <c r="AJ10" s="91"/>
      <c r="AK10" s="12"/>
      <c r="AL10" s="9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s="4" customFormat="1" ht="36.75" customHeight="1">
      <c r="A11" s="53" t="s">
        <v>15</v>
      </c>
      <c r="B11" s="162" t="s">
        <v>114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69"/>
      <c r="AJ11" s="92"/>
      <c r="AK11" s="12"/>
      <c r="AL11" s="9"/>
      <c r="AM11" s="10"/>
      <c r="AN11" s="10"/>
      <c r="AO11" s="10"/>
      <c r="AP11" s="10"/>
      <c r="AQ11" s="10"/>
      <c r="AR11" s="10"/>
      <c r="AS11" s="10"/>
      <c r="AT11" s="10"/>
      <c r="AU11" s="10"/>
    </row>
    <row r="12" spans="1:47" s="4" customFormat="1" ht="31.5" customHeight="1">
      <c r="A12" s="53">
        <v>1</v>
      </c>
      <c r="B12" s="69" t="s">
        <v>81</v>
      </c>
      <c r="C12" s="69"/>
      <c r="D12" s="69"/>
      <c r="E12" s="124">
        <f>E15+E18</f>
        <v>5.3</v>
      </c>
      <c r="F12" s="124"/>
      <c r="G12" s="124">
        <f>G15+G18</f>
        <v>374477.09239999996</v>
      </c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124">
        <f>T15</f>
        <v>2.5</v>
      </c>
      <c r="U12" s="124"/>
      <c r="V12" s="124">
        <f>V15</f>
        <v>174477.09239999999</v>
      </c>
      <c r="W12" s="69"/>
      <c r="X12" s="124">
        <f>X15</f>
        <v>174477.09239999999</v>
      </c>
      <c r="Y12" s="69"/>
      <c r="Z12" s="124">
        <f>Z17</f>
        <v>2.8</v>
      </c>
      <c r="AA12" s="124"/>
      <c r="AB12" s="124">
        <f>AB17</f>
        <v>200000</v>
      </c>
      <c r="AC12" s="69"/>
      <c r="AD12" s="124">
        <f>AD17</f>
        <v>200000</v>
      </c>
      <c r="AE12" s="69"/>
      <c r="AF12" s="69"/>
      <c r="AG12" s="69"/>
      <c r="AH12" s="123"/>
      <c r="AI12" s="69"/>
      <c r="AJ12" s="92"/>
      <c r="AK12" s="12"/>
      <c r="AL12" s="9"/>
      <c r="AM12" s="10"/>
      <c r="AN12" s="10"/>
      <c r="AO12" s="10"/>
      <c r="AP12" s="10"/>
      <c r="AQ12" s="10"/>
      <c r="AR12" s="10"/>
      <c r="AS12" s="10"/>
      <c r="AT12" s="10"/>
      <c r="AU12" s="10"/>
    </row>
    <row r="13" spans="1:47" s="4" customFormat="1" ht="26.25" customHeight="1">
      <c r="A13" s="164" t="s">
        <v>153</v>
      </c>
      <c r="B13" s="165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123"/>
      <c r="AI13" s="69"/>
      <c r="AJ13" s="92"/>
      <c r="AK13" s="12"/>
      <c r="AL13" s="9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4" customFormat="1" ht="36.75" customHeight="1">
      <c r="A14" s="55">
        <v>1</v>
      </c>
      <c r="B14" s="17" t="s">
        <v>82</v>
      </c>
      <c r="C14" s="17" t="s">
        <v>16</v>
      </c>
      <c r="D14" s="69"/>
      <c r="E14" s="20">
        <v>2.5</v>
      </c>
      <c r="F14" s="20"/>
      <c r="G14" s="19">
        <v>174477.09239999999</v>
      </c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20">
        <f>E14</f>
        <v>2.5</v>
      </c>
      <c r="U14" s="20"/>
      <c r="V14" s="19">
        <f>G14</f>
        <v>174477.09239999999</v>
      </c>
      <c r="W14" s="69"/>
      <c r="X14" s="19">
        <f>V14</f>
        <v>174477.09239999999</v>
      </c>
      <c r="Y14" s="69"/>
      <c r="Z14" s="69"/>
      <c r="AA14" s="69"/>
      <c r="AB14" s="69"/>
      <c r="AC14" s="69"/>
      <c r="AD14" s="69"/>
      <c r="AE14" s="69"/>
      <c r="AF14" s="69"/>
      <c r="AG14" s="69"/>
      <c r="AH14" s="123"/>
      <c r="AI14" s="69"/>
      <c r="AJ14" s="92"/>
      <c r="AK14" s="12"/>
      <c r="AL14" s="9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47" s="4" customFormat="1" ht="36.75" customHeight="1">
      <c r="A15" s="171" t="s">
        <v>154</v>
      </c>
      <c r="B15" s="172"/>
      <c r="C15" s="126"/>
      <c r="D15" s="69"/>
      <c r="E15" s="124">
        <f>E14</f>
        <v>2.5</v>
      </c>
      <c r="F15" s="124"/>
      <c r="G15" s="124">
        <f>G14</f>
        <v>174477.09239999999</v>
      </c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124">
        <f>T14</f>
        <v>2.5</v>
      </c>
      <c r="U15" s="124"/>
      <c r="V15" s="124">
        <f>V14</f>
        <v>174477.09239999999</v>
      </c>
      <c r="W15" s="69"/>
      <c r="X15" s="124">
        <f>X14</f>
        <v>174477.09239999999</v>
      </c>
      <c r="Y15" s="69"/>
      <c r="Z15" s="69"/>
      <c r="AA15" s="69"/>
      <c r="AB15" s="69"/>
      <c r="AC15" s="69"/>
      <c r="AD15" s="69"/>
      <c r="AE15" s="69"/>
      <c r="AF15" s="69"/>
      <c r="AG15" s="69"/>
      <c r="AH15" s="123"/>
      <c r="AI15" s="69"/>
      <c r="AJ15" s="92"/>
      <c r="AK15" s="12"/>
      <c r="AL15" s="9"/>
      <c r="AM15" s="10"/>
      <c r="AN15" s="10"/>
      <c r="AO15" s="10"/>
      <c r="AP15" s="10"/>
      <c r="AQ15" s="10"/>
      <c r="AR15" s="10"/>
      <c r="AS15" s="10"/>
      <c r="AT15" s="10"/>
      <c r="AU15" s="10"/>
    </row>
    <row r="16" spans="1:47" s="4" customFormat="1" ht="36.75" customHeight="1">
      <c r="A16" s="161" t="s">
        <v>29</v>
      </c>
      <c r="B16" s="148"/>
      <c r="C16" s="122"/>
      <c r="D16" s="69"/>
      <c r="E16" s="124"/>
      <c r="F16" s="124"/>
      <c r="G16" s="124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24"/>
      <c r="U16" s="124"/>
      <c r="V16" s="124"/>
      <c r="W16" s="69"/>
      <c r="X16" s="124"/>
      <c r="Y16" s="69"/>
      <c r="Z16" s="69"/>
      <c r="AA16" s="69"/>
      <c r="AB16" s="69"/>
      <c r="AC16" s="69"/>
      <c r="AD16" s="69"/>
      <c r="AE16" s="69"/>
      <c r="AF16" s="69"/>
      <c r="AG16" s="69"/>
      <c r="AH16" s="123"/>
      <c r="AI16" s="69"/>
      <c r="AJ16" s="92"/>
      <c r="AK16" s="12"/>
      <c r="AL16" s="9"/>
      <c r="AM16" s="10"/>
      <c r="AN16" s="10"/>
      <c r="AO16" s="10"/>
      <c r="AP16" s="10"/>
      <c r="AQ16" s="10"/>
      <c r="AR16" s="10"/>
      <c r="AS16" s="10"/>
      <c r="AT16" s="10"/>
      <c r="AU16" s="10"/>
    </row>
    <row r="17" spans="1:53" s="4" customFormat="1" ht="49.5" customHeight="1">
      <c r="A17" s="55">
        <v>2</v>
      </c>
      <c r="B17" s="67" t="s">
        <v>125</v>
      </c>
      <c r="C17" s="17" t="s">
        <v>16</v>
      </c>
      <c r="D17" s="45"/>
      <c r="E17" s="29">
        <v>2.8</v>
      </c>
      <c r="F17" s="124"/>
      <c r="G17" s="19">
        <v>200000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24"/>
      <c r="U17" s="124"/>
      <c r="V17" s="124"/>
      <c r="W17" s="69"/>
      <c r="X17" s="124"/>
      <c r="Y17" s="69"/>
      <c r="Z17" s="29">
        <f>E17</f>
        <v>2.8</v>
      </c>
      <c r="AA17" s="124"/>
      <c r="AB17" s="19">
        <f>G17</f>
        <v>200000</v>
      </c>
      <c r="AC17" s="69"/>
      <c r="AD17" s="19">
        <f>AB17</f>
        <v>200000</v>
      </c>
      <c r="AE17" s="69"/>
      <c r="AF17" s="69"/>
      <c r="AG17" s="69"/>
      <c r="AH17" s="123"/>
      <c r="AI17" s="69"/>
      <c r="AJ17" s="92"/>
      <c r="AK17" s="12"/>
      <c r="AL17" s="9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53" s="4" customFormat="1" ht="36.75" customHeight="1">
      <c r="A18" s="159" t="s">
        <v>108</v>
      </c>
      <c r="B18" s="160"/>
      <c r="C18" s="122"/>
      <c r="D18" s="69"/>
      <c r="E18" s="124">
        <f>E17</f>
        <v>2.8</v>
      </c>
      <c r="F18" s="124"/>
      <c r="G18" s="124">
        <f>G17</f>
        <v>200000</v>
      </c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124"/>
      <c r="U18" s="124"/>
      <c r="V18" s="124"/>
      <c r="W18" s="69"/>
      <c r="X18" s="124"/>
      <c r="Y18" s="69"/>
      <c r="Z18" s="124">
        <f>Z17</f>
        <v>2.8</v>
      </c>
      <c r="AA18" s="124"/>
      <c r="AB18" s="124">
        <f>AB17</f>
        <v>200000</v>
      </c>
      <c r="AC18" s="69"/>
      <c r="AD18" s="124">
        <f>AD17</f>
        <v>200000</v>
      </c>
      <c r="AE18" s="69"/>
      <c r="AF18" s="69"/>
      <c r="AG18" s="69"/>
      <c r="AH18" s="123"/>
      <c r="AI18" s="69"/>
      <c r="AJ18" s="92"/>
      <c r="AK18" s="12"/>
      <c r="AL18" s="9"/>
      <c r="AM18" s="10"/>
      <c r="AN18" s="10"/>
      <c r="AO18" s="10"/>
      <c r="AP18" s="10"/>
      <c r="AQ18" s="10"/>
      <c r="AR18" s="10"/>
      <c r="AS18" s="10"/>
      <c r="AT18" s="10"/>
      <c r="AU18" s="10"/>
    </row>
    <row r="19" spans="1:53" s="4" customFormat="1" ht="36.75" customHeight="1">
      <c r="A19" s="53">
        <v>2</v>
      </c>
      <c r="B19" s="69" t="s">
        <v>83</v>
      </c>
      <c r="C19" s="69"/>
      <c r="D19" s="69"/>
      <c r="E19" s="93"/>
      <c r="F19" s="69"/>
      <c r="G19" s="93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123"/>
      <c r="AI19" s="69"/>
      <c r="AJ19" s="92"/>
      <c r="AK19" s="12"/>
      <c r="AL19" s="9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53" s="23" customFormat="1" ht="30.75" customHeight="1">
      <c r="A20" s="53"/>
      <c r="B20" s="94" t="s">
        <v>64</v>
      </c>
      <c r="C20" s="25"/>
      <c r="D20" s="54"/>
      <c r="E20" s="124">
        <f>E30+E36+E42+E45+E53+E57+E61+E65+E70+E74+E77+E80+E84+E87+E91+E95+E101+E105+E109+E113+E116+E117-0.04+AF20</f>
        <v>342.66110000000003</v>
      </c>
      <c r="F20" s="124"/>
      <c r="G20" s="124">
        <f>G30+G36+G42+G45+G53+G57+G61+G65+G70+G74+G77+G80+G84+G87+G91+G95+G101+G105+G109+G113+G116+G117+AH20</f>
        <v>10829661.8841096</v>
      </c>
      <c r="H20" s="124" t="e">
        <f>#REF!+H30+H36+H42+H45+H53+H57+H61+H65+H70+H74+H77+H91+H101+H109+H113+H116</f>
        <v>#REF!</v>
      </c>
      <c r="I20" s="124" t="e">
        <f>#REF!+I30+I36+I42+I45+I53+I57+I61+I65+I70+I74+I77+I91+I101+I109+I113+I116</f>
        <v>#REF!</v>
      </c>
      <c r="J20" s="124" t="e">
        <f>#REF!+J30+J36+J42+J45+J53+J57+J61+J65+J70+J74+J77+J91+J101+J109+J113+J116</f>
        <v>#REF!</v>
      </c>
      <c r="K20" s="124" t="e">
        <f>#REF!+K30+K36+K42+K45+K53+K57+K61+K65+K70+K74+K77+K91+K101+K109+K113+K116</f>
        <v>#REF!</v>
      </c>
      <c r="L20" s="124" t="e">
        <f>#REF!+L30+L36+L42+L45+L53+L57+L61+L65+L70+L74+L77+L91+L101+L109+L113+L116</f>
        <v>#REF!</v>
      </c>
      <c r="M20" s="124" t="e">
        <f>#REF!+M30+M36+M42+M45+M53+M57+M61+M65+M70+M74+M77+M91+M101+M109+M113+M116</f>
        <v>#REF!</v>
      </c>
      <c r="N20" s="124" t="e">
        <f>#REF!+N30+N36+N42+N45+N53+N57+N61+N65+N70+N74+N77+N91+N101+N109+N113+N116</f>
        <v>#REF!</v>
      </c>
      <c r="O20" s="124" t="e">
        <f>#REF!+O30+O36+O42+O45+O53+O57+O61+O65+O70+O74+O77+O91+O101+O109+O113+O116</f>
        <v>#REF!</v>
      </c>
      <c r="P20" s="124" t="e">
        <f>#REF!+P30+P36+P42+P45+P53+P57+P61+P65+P70+P74+P77+P91+P101+P109+P113+P116</f>
        <v>#REF!</v>
      </c>
      <c r="Q20" s="124" t="e">
        <f>#REF!+Q30+Q36+Q42+Q45+Q53+Q57+Q61+Q65+Q70+Q74+Q77+Q91+Q101+Q109+Q113+Q116</f>
        <v>#REF!</v>
      </c>
      <c r="R20" s="124" t="e">
        <f>#REF!+R30+R36+R42+R45+R53+R57+R61+R65+R70+R74+R77+R91+R101+R109+R113+R116</f>
        <v>#REF!</v>
      </c>
      <c r="S20" s="124" t="e">
        <f>#REF!+S30+S36+S42+S45+S53+S57+S61+S65+S70+S74+S77+S91+S101+S109+S113+S116</f>
        <v>#REF!</v>
      </c>
      <c r="T20" s="124">
        <f>T30+T36+T42+T45+T53+T57+T61+T65+T70+T74+T77+T80+T87+T91+T95+T101+T105+T109+T113+T116</f>
        <v>110.98110000000001</v>
      </c>
      <c r="U20" s="124"/>
      <c r="V20" s="124">
        <f>V30+V36+V42+V45+V53+V57+V61+V65+V70+V74+V77+V84+V91+V101+V109+V113+V116+V117</f>
        <v>2644610.7841100004</v>
      </c>
      <c r="W20" s="124">
        <f>W30+W36+W42+W45+W53+W57+W61+W65+W70+W74+W77+W84+W91+W101+W109+W113+W116+W117</f>
        <v>3.1999999999534339</v>
      </c>
      <c r="X20" s="124">
        <f>X30+X36+X42+X45+X53+X57+X61+X65+X70+X74+X77+X84+X91+X101+X109+X113+X116+X117</f>
        <v>2644607.5841100002</v>
      </c>
      <c r="Y20" s="124"/>
      <c r="Z20" s="124">
        <f>Z30+Z36+Z42+Z45+Z53+Z61+Z65+Z70+Z74+Z77+Z80+Z84+Z87+Z91+Z95+Z101+Z105+Z109+Z113-0.03</f>
        <v>140.49</v>
      </c>
      <c r="AA20" s="124"/>
      <c r="AB20" s="124">
        <f>AB30+AB36+AB42+AB45+AB53+AB57+AB61+AB65+AB70+AB74+AB77+AB80+AB84+AB87+AB91+AB95+AB101+AB105+AB109+AB113+AB117</f>
        <v>3255489.7999995998</v>
      </c>
      <c r="AC20" s="124">
        <f t="shared" ref="AC20:AD20" si="0">AC30+AC36+AC42+AC45+AC53+AC57+AC61+AC65+AC70+AC74+AC77+AC80+AC84+AC87+AC91+AC95+AC101+AC105+AC109+AC113+AC117</f>
        <v>2677614.7000018558</v>
      </c>
      <c r="AD20" s="124">
        <f t="shared" si="0"/>
        <v>577875.09999774385</v>
      </c>
      <c r="AE20" s="124"/>
      <c r="AF20" s="124">
        <v>91.2</v>
      </c>
      <c r="AG20" s="124"/>
      <c r="AH20" s="125">
        <v>4929561.3000000007</v>
      </c>
      <c r="AI20" s="124">
        <v>3154919.2</v>
      </c>
      <c r="AJ20" s="77">
        <f>AH20-AI20</f>
        <v>1774642.1000000006</v>
      </c>
      <c r="AK20" s="23" t="s">
        <v>145</v>
      </c>
      <c r="AL20" s="88">
        <f>AI20/AH20*100</f>
        <v>63.999999350855006</v>
      </c>
      <c r="BA20" s="124">
        <v>3792827.38</v>
      </c>
    </row>
    <row r="21" spans="1:53" s="23" customFormat="1" ht="25.5" customHeight="1">
      <c r="A21" s="53"/>
      <c r="B21" s="95" t="s">
        <v>11</v>
      </c>
      <c r="C21" s="25"/>
      <c r="D21" s="54"/>
      <c r="E21" s="124"/>
      <c r="F21" s="124"/>
      <c r="G21" s="124"/>
      <c r="H21" s="124"/>
      <c r="I21" s="14"/>
      <c r="J21" s="14"/>
      <c r="K21" s="25"/>
      <c r="L21" s="124"/>
      <c r="M21" s="14"/>
      <c r="N21" s="14"/>
      <c r="O21" s="1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31"/>
      <c r="AC21" s="31"/>
      <c r="AD21" s="31"/>
      <c r="AE21" s="124"/>
      <c r="AF21" s="124"/>
      <c r="AG21" s="124"/>
      <c r="AH21" s="125"/>
      <c r="AI21" s="124"/>
      <c r="AJ21" s="77"/>
      <c r="AK21" s="115">
        <f>V20+AB20+AH20</f>
        <v>10829661.884109601</v>
      </c>
      <c r="AL21" s="8"/>
      <c r="BA21" s="15"/>
    </row>
    <row r="22" spans="1:53" s="23" customFormat="1" ht="30" customHeight="1">
      <c r="A22" s="53"/>
      <c r="B22" s="94" t="s">
        <v>51</v>
      </c>
      <c r="C22" s="25"/>
      <c r="D22" s="54"/>
      <c r="E22" s="124">
        <f>E25+E26+E27+E32+E33+E40+E41+E44+E48+E52+E59+E63+E64+E67+E72+E73+E76+E79+E82+E83+E86+E89+E90+E93+E94+E97+E98+E103+E104+E107+E111+AF22</f>
        <v>234.63599999999997</v>
      </c>
      <c r="F22" s="124"/>
      <c r="G22" s="124">
        <f>G25+G26+G27+G32+G33+G40+G41+G44+G48+G52+G59+G63+G64+G67+G72+G73+G76+G79+G82+G83+G86+G89+G90+G93+G94+G97+G98+G103+G104+G107+G111+G117+AH22</f>
        <v>8913431.0841096006</v>
      </c>
      <c r="H22" s="124"/>
      <c r="I22" s="14"/>
      <c r="J22" s="14"/>
      <c r="K22" s="25"/>
      <c r="L22" s="124"/>
      <c r="M22" s="14"/>
      <c r="N22" s="14"/>
      <c r="O22" s="14"/>
      <c r="P22" s="124"/>
      <c r="Q22" s="124"/>
      <c r="R22" s="124"/>
      <c r="S22" s="124"/>
      <c r="T22" s="124">
        <f>T28+T34+T48+T63+T72+T89+T99+T107+T111</f>
        <v>36.61</v>
      </c>
      <c r="U22" s="124"/>
      <c r="V22" s="124">
        <f>V25+V34+V48+V63+V72+V82+V89+V99+V107+V111+V117</f>
        <v>1194687.7841099999</v>
      </c>
      <c r="W22" s="124">
        <f>W28+W34+W48+W63+W72+W82+W89+W99+W107+W117</f>
        <v>3.1999999999534339</v>
      </c>
      <c r="X22" s="124">
        <f>X25+X34+X48+X63+X72+X82+X89+X99+X107+X111+X117</f>
        <v>1194684.5841099999</v>
      </c>
      <c r="Y22" s="124"/>
      <c r="Z22" s="124">
        <f>Z25+Z26+Z27+Z33+Z40+Z41+Z44+Z52+Z59+Z64+Z67+Z73+Z76+Z79+Z82+Z83+Z86+Z90+Z93+Z94+Z98+Z103+Z104+Z111</f>
        <v>106.82600000000001</v>
      </c>
      <c r="AA22" s="124"/>
      <c r="AB22" s="124">
        <f>AB25+AB26+AB27+AB33+AB40+AB41+AB44+AB52+AB59+AB64+AB67+AB73+AB76+AB79+AB82+AB83+AB86+AB90+AB93+AB94+AB98+AB103+AB104+AB111+AB117</f>
        <v>2789181.9999996</v>
      </c>
      <c r="AC22" s="124">
        <f t="shared" ref="AC22:AD22" si="1">AC25+AC26+AC27+AC33+AC40+AC41+AC44+AC52+AC59+AC64+AC67+AC73+AC76+AC79+AC82+AC83+AC86+AC90+AC93+AC94+AC98+AC103+AC104+AC111+AC117</f>
        <v>2677614.7000018554</v>
      </c>
      <c r="AD22" s="124">
        <f t="shared" si="1"/>
        <v>111567.29999774396</v>
      </c>
      <c r="AE22" s="124"/>
      <c r="AF22" s="124">
        <f>AF20</f>
        <v>91.2</v>
      </c>
      <c r="AG22" s="124"/>
      <c r="AH22" s="125">
        <f>AH20</f>
        <v>4929561.3000000007</v>
      </c>
      <c r="AI22" s="124">
        <f>AI20</f>
        <v>3154919.2</v>
      </c>
      <c r="AJ22" s="77">
        <f>AJ20</f>
        <v>1774642.1000000006</v>
      </c>
      <c r="AK22" s="115">
        <f>G20+AH20</f>
        <v>15759223.1841096</v>
      </c>
      <c r="AL22" s="8"/>
      <c r="BA22" s="15"/>
    </row>
    <row r="23" spans="1:53" s="23" customFormat="1" ht="27.75" customHeight="1">
      <c r="A23" s="53"/>
      <c r="B23" s="96" t="s">
        <v>52</v>
      </c>
      <c r="C23" s="25"/>
      <c r="D23" s="25"/>
      <c r="E23" s="124">
        <f>E29+E35+E60+E69+E100+E108+E112+E115</f>
        <v>108.0651</v>
      </c>
      <c r="F23" s="124"/>
      <c r="G23" s="124">
        <f>G29+G35+G60+G69+G100+G108+G112+G115</f>
        <v>1916230.8</v>
      </c>
      <c r="H23" s="124"/>
      <c r="I23" s="14"/>
      <c r="J23" s="14"/>
      <c r="K23" s="25"/>
      <c r="L23" s="124"/>
      <c r="M23" s="14"/>
      <c r="N23" s="14"/>
      <c r="O23" s="14"/>
      <c r="P23" s="124"/>
      <c r="Q23" s="124"/>
      <c r="R23" s="124"/>
      <c r="S23" s="124"/>
      <c r="T23" s="124">
        <f>T29+T35+T60+T69+T100+T108+T112+T115</f>
        <v>74.371099999999998</v>
      </c>
      <c r="U23" s="124"/>
      <c r="V23" s="124">
        <f>V29+V35+V60+V69+V100+V108+V112+V115</f>
        <v>1449923</v>
      </c>
      <c r="W23" s="124"/>
      <c r="X23" s="124">
        <f>X29+X35+X60+X69+X100+X108+X112+X115</f>
        <v>1449923</v>
      </c>
      <c r="Y23" s="124"/>
      <c r="Z23" s="124">
        <f>Z29+Z35+Z60+Z69+Z100+Z108+Z112+Z115</f>
        <v>33.693999999999996</v>
      </c>
      <c r="AA23" s="124"/>
      <c r="AB23" s="124">
        <f>AB29+AB35+AB60+AB69+AB100+AB108+AB112+AB115</f>
        <v>466307.8</v>
      </c>
      <c r="AC23" s="124"/>
      <c r="AD23" s="124">
        <f>AD29+AD35+AD60+AD69+AD100+AD108+AD112+AD115</f>
        <v>466307.8</v>
      </c>
      <c r="AE23" s="124"/>
      <c r="AF23" s="124"/>
      <c r="AG23" s="124"/>
      <c r="AH23" s="125"/>
      <c r="AI23" s="124"/>
      <c r="AJ23" s="77"/>
      <c r="AL23" s="8"/>
      <c r="BA23" s="15"/>
    </row>
    <row r="24" spans="1:53" s="23" customFormat="1" ht="30.75" customHeight="1">
      <c r="A24" s="161" t="s">
        <v>17</v>
      </c>
      <c r="B24" s="148"/>
      <c r="C24" s="166"/>
      <c r="D24" s="148"/>
      <c r="E24" s="148"/>
      <c r="F24" s="119"/>
      <c r="G24" s="124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9"/>
      <c r="U24" s="19"/>
      <c r="V24" s="19"/>
      <c r="W24" s="19"/>
      <c r="X24" s="19"/>
      <c r="Y24" s="19"/>
      <c r="Z24" s="19"/>
      <c r="AA24" s="17"/>
      <c r="AB24" s="19"/>
      <c r="AC24" s="19"/>
      <c r="AD24" s="19"/>
      <c r="AE24" s="19"/>
      <c r="AF24" s="19"/>
      <c r="AG24" s="19"/>
      <c r="AH24" s="59"/>
      <c r="AI24" s="19"/>
      <c r="AJ24" s="78"/>
      <c r="AK24" s="8"/>
      <c r="AL24" s="8"/>
    </row>
    <row r="25" spans="1:53" s="23" customFormat="1" ht="45.75" customHeight="1">
      <c r="A25" s="55">
        <v>1</v>
      </c>
      <c r="B25" s="16" t="s">
        <v>84</v>
      </c>
      <c r="C25" s="17" t="s">
        <v>19</v>
      </c>
      <c r="D25" s="17"/>
      <c r="E25" s="20">
        <f>14.635-8.245</f>
        <v>6.3900000000000006</v>
      </c>
      <c r="F25" s="20"/>
      <c r="G25" s="19">
        <f>V25+AB25</f>
        <v>336116.68946000002</v>
      </c>
      <c r="H25" s="21"/>
      <c r="I25" s="22"/>
      <c r="J25" s="22"/>
      <c r="K25" s="22"/>
      <c r="L25" s="20"/>
      <c r="M25" s="22"/>
      <c r="N25" s="22"/>
      <c r="O25" s="22"/>
      <c r="P25" s="20"/>
      <c r="Q25" s="22"/>
      <c r="R25" s="22"/>
      <c r="S25" s="22"/>
      <c r="T25" s="20"/>
      <c r="U25" s="19"/>
      <c r="V25" s="19">
        <f>150000+3263.48706+333.5004</f>
        <v>153596.98746</v>
      </c>
      <c r="W25" s="19"/>
      <c r="X25" s="19">
        <f>V25</f>
        <v>153596.98746</v>
      </c>
      <c r="Y25" s="19"/>
      <c r="Z25" s="20">
        <f>E25</f>
        <v>6.3900000000000006</v>
      </c>
      <c r="AA25" s="20"/>
      <c r="AB25" s="19">
        <f>186116.68946-3263.48706-333.5004</f>
        <v>182519.70199999999</v>
      </c>
      <c r="AC25" s="19">
        <v>175218.91261</v>
      </c>
      <c r="AD25" s="19">
        <f t="shared" ref="AD25:AD27" si="2">AB25-AC25</f>
        <v>7300.7893899999908</v>
      </c>
      <c r="AE25" s="19"/>
      <c r="AF25" s="19"/>
      <c r="AG25" s="19"/>
      <c r="AH25" s="59"/>
      <c r="AI25" s="19"/>
      <c r="AJ25" s="78"/>
      <c r="AK25" s="8"/>
      <c r="AL25" s="8"/>
    </row>
    <row r="26" spans="1:53" s="23" customFormat="1" ht="49.5" customHeight="1">
      <c r="A26" s="55">
        <v>2</v>
      </c>
      <c r="B26" s="16" t="s">
        <v>139</v>
      </c>
      <c r="C26" s="17" t="s">
        <v>16</v>
      </c>
      <c r="D26" s="17"/>
      <c r="E26" s="20">
        <f>(2.975-0.02)+(9.02-6.67)</f>
        <v>5.3049999999999997</v>
      </c>
      <c r="F26" s="18"/>
      <c r="G26" s="19">
        <v>143459.12401999999</v>
      </c>
      <c r="H26" s="21"/>
      <c r="I26" s="22"/>
      <c r="J26" s="22"/>
      <c r="K26" s="22"/>
      <c r="L26" s="20"/>
      <c r="M26" s="22"/>
      <c r="N26" s="22"/>
      <c r="O26" s="22"/>
      <c r="P26" s="20"/>
      <c r="Q26" s="22"/>
      <c r="R26" s="22"/>
      <c r="S26" s="22"/>
      <c r="T26" s="20"/>
      <c r="U26" s="19"/>
      <c r="V26" s="19"/>
      <c r="W26" s="19"/>
      <c r="X26" s="19"/>
      <c r="Y26" s="19"/>
      <c r="Z26" s="20">
        <f>E26</f>
        <v>5.3049999999999997</v>
      </c>
      <c r="AA26" s="20"/>
      <c r="AB26" s="19">
        <f>G26</f>
        <v>143459.12401999999</v>
      </c>
      <c r="AC26" s="19">
        <v>137720.75803</v>
      </c>
      <c r="AD26" s="19">
        <f t="shared" si="2"/>
        <v>5738.3659899999911</v>
      </c>
      <c r="AE26" s="19"/>
      <c r="AF26" s="19"/>
      <c r="AG26" s="19"/>
      <c r="AH26" s="59"/>
      <c r="AI26" s="19"/>
      <c r="AJ26" s="78"/>
      <c r="AK26" s="8"/>
      <c r="AL26" s="8"/>
    </row>
    <row r="27" spans="1:53" s="23" customFormat="1" ht="33" customHeight="1">
      <c r="A27" s="55">
        <v>3</v>
      </c>
      <c r="B27" s="16" t="s">
        <v>126</v>
      </c>
      <c r="C27" s="17" t="s">
        <v>16</v>
      </c>
      <c r="D27" s="17"/>
      <c r="E27" s="18">
        <v>5.05</v>
      </c>
      <c r="F27" s="18"/>
      <c r="G27" s="19">
        <f>(115141.5*1.2+2000)*1.073+0.0046</f>
        <v>150402.19999999995</v>
      </c>
      <c r="H27" s="21"/>
      <c r="I27" s="22"/>
      <c r="J27" s="22"/>
      <c r="K27" s="22"/>
      <c r="L27" s="20"/>
      <c r="M27" s="22"/>
      <c r="N27" s="22"/>
      <c r="O27" s="22"/>
      <c r="P27" s="20"/>
      <c r="Q27" s="22"/>
      <c r="R27" s="22"/>
      <c r="S27" s="22"/>
      <c r="T27" s="20"/>
      <c r="U27" s="19"/>
      <c r="V27" s="19"/>
      <c r="W27" s="19"/>
      <c r="X27" s="19"/>
      <c r="Y27" s="19"/>
      <c r="Z27" s="20">
        <f>E27</f>
        <v>5.05</v>
      </c>
      <c r="AA27" s="20"/>
      <c r="AB27" s="19">
        <f>G27</f>
        <v>150402.19999999995</v>
      </c>
      <c r="AC27" s="19">
        <v>144386.11092000001</v>
      </c>
      <c r="AD27" s="19">
        <f t="shared" si="2"/>
        <v>6016.089079999947</v>
      </c>
      <c r="AE27" s="19"/>
      <c r="AF27" s="19"/>
      <c r="AG27" s="19"/>
      <c r="AH27" s="59" t="s">
        <v>68</v>
      </c>
      <c r="AI27" s="19"/>
      <c r="AJ27" s="78"/>
      <c r="AK27" s="8"/>
      <c r="AL27" s="8"/>
    </row>
    <row r="28" spans="1:53" s="23" customFormat="1" ht="26.25" customHeight="1">
      <c r="A28" s="121"/>
      <c r="B28" s="16" t="s">
        <v>55</v>
      </c>
      <c r="C28" s="17"/>
      <c r="D28" s="17"/>
      <c r="E28" s="46">
        <f>SUM(E25:E27)</f>
        <v>16.745000000000001</v>
      </c>
      <c r="F28" s="46"/>
      <c r="G28" s="19">
        <f>SUM(G25:G27)</f>
        <v>629978.01347999997</v>
      </c>
      <c r="H28" s="46"/>
      <c r="I28" s="22"/>
      <c r="J28" s="22"/>
      <c r="K28" s="22"/>
      <c r="L28" s="46" t="e">
        <f>SUM(#REF!)</f>
        <v>#REF!</v>
      </c>
      <c r="M28" s="22" t="e">
        <f>SUM(#REF!)</f>
        <v>#REF!</v>
      </c>
      <c r="N28" s="22" t="e">
        <f>SUM(#REF!)</f>
        <v>#REF!</v>
      </c>
      <c r="O28" s="22"/>
      <c r="P28" s="46" t="e">
        <f>SUM(#REF!)</f>
        <v>#REF!</v>
      </c>
      <c r="Q28" s="22" t="e">
        <f>SUM(#REF!)</f>
        <v>#REF!</v>
      </c>
      <c r="R28" s="19" t="e">
        <f>SUM(#REF!)</f>
        <v>#REF!</v>
      </c>
      <c r="S28" s="22"/>
      <c r="T28" s="19">
        <f>SUM(T25:T27)</f>
        <v>0</v>
      </c>
      <c r="U28" s="46"/>
      <c r="V28" s="19">
        <f>SUM(V25:V27)</f>
        <v>153596.98746</v>
      </c>
      <c r="W28" s="19"/>
      <c r="X28" s="19">
        <f>SUM(X25:X27)</f>
        <v>153596.98746</v>
      </c>
      <c r="Y28" s="19"/>
      <c r="Z28" s="19">
        <f>SUM(Z25:Z27)</f>
        <v>16.745000000000001</v>
      </c>
      <c r="AA28" s="46"/>
      <c r="AB28" s="19">
        <f>SUM(AB25:AB27)</f>
        <v>476381.02601999993</v>
      </c>
      <c r="AC28" s="19">
        <f>SUM(AC25:AC27)</f>
        <v>457325.78156000003</v>
      </c>
      <c r="AD28" s="19">
        <f>SUM(AD25:AD27)</f>
        <v>19055.244459999929</v>
      </c>
      <c r="AE28" s="124"/>
      <c r="AF28" s="124"/>
      <c r="AG28" s="124"/>
      <c r="AH28" s="125"/>
      <c r="AI28" s="124"/>
      <c r="AJ28" s="77"/>
      <c r="AK28" s="8"/>
      <c r="AL28" s="8"/>
    </row>
    <row r="29" spans="1:53" s="23" customFormat="1" ht="29.25" customHeight="1">
      <c r="A29" s="121"/>
      <c r="B29" s="16" t="s">
        <v>53</v>
      </c>
      <c r="C29" s="17"/>
      <c r="D29" s="17"/>
      <c r="E29" s="46">
        <f>T29+Z29</f>
        <v>30.874099999999999</v>
      </c>
      <c r="F29" s="46"/>
      <c r="G29" s="19">
        <f>V29+AB29</f>
        <v>472054.2</v>
      </c>
      <c r="H29" s="46"/>
      <c r="I29" s="22"/>
      <c r="J29" s="22"/>
      <c r="K29" s="22"/>
      <c r="L29" s="46"/>
      <c r="M29" s="22"/>
      <c r="N29" s="22"/>
      <c r="O29" s="22"/>
      <c r="P29" s="46"/>
      <c r="Q29" s="22"/>
      <c r="R29" s="19"/>
      <c r="S29" s="22"/>
      <c r="T29" s="46">
        <v>21.892099999999999</v>
      </c>
      <c r="U29" s="46"/>
      <c r="V29" s="19">
        <f>329407+74511</f>
        <v>403918</v>
      </c>
      <c r="W29" s="19"/>
      <c r="X29" s="19">
        <f>V29</f>
        <v>403918</v>
      </c>
      <c r="Y29" s="19"/>
      <c r="Z29" s="20">
        <v>8.9819999999999993</v>
      </c>
      <c r="AA29" s="13"/>
      <c r="AB29" s="19">
        <v>68136.2</v>
      </c>
      <c r="AC29" s="19"/>
      <c r="AD29" s="19">
        <f>AB29</f>
        <v>68136.2</v>
      </c>
      <c r="AE29" s="124"/>
      <c r="AF29" s="124"/>
      <c r="AG29" s="124"/>
      <c r="AH29" s="125"/>
      <c r="AI29" s="124"/>
      <c r="AJ29" s="77"/>
      <c r="AK29" s="8"/>
      <c r="AL29" s="8"/>
    </row>
    <row r="30" spans="1:53" s="23" customFormat="1" ht="31.5" customHeight="1">
      <c r="A30" s="159" t="s">
        <v>99</v>
      </c>
      <c r="B30" s="160"/>
      <c r="C30" s="17"/>
      <c r="D30" s="17"/>
      <c r="E30" s="13">
        <f>E28+E29</f>
        <v>47.619100000000003</v>
      </c>
      <c r="F30" s="13"/>
      <c r="G30" s="124">
        <f>G28+G29</f>
        <v>1102032.2134799999</v>
      </c>
      <c r="H30" s="13"/>
      <c r="I30" s="14"/>
      <c r="J30" s="14"/>
      <c r="K30" s="14"/>
      <c r="L30" s="13"/>
      <c r="M30" s="14"/>
      <c r="N30" s="14"/>
      <c r="O30" s="14"/>
      <c r="P30" s="13"/>
      <c r="Q30" s="14"/>
      <c r="R30" s="124"/>
      <c r="S30" s="14"/>
      <c r="T30" s="13">
        <f>T28+T29</f>
        <v>21.892099999999999</v>
      </c>
      <c r="U30" s="13"/>
      <c r="V30" s="124">
        <f t="shared" ref="V30:X30" si="3">V28+V29</f>
        <v>557514.98745999997</v>
      </c>
      <c r="W30" s="124">
        <f t="shared" si="3"/>
        <v>0</v>
      </c>
      <c r="X30" s="124">
        <f t="shared" si="3"/>
        <v>557514.98745999997</v>
      </c>
      <c r="Y30" s="124"/>
      <c r="Z30" s="13">
        <f>Z28+Z29</f>
        <v>25.727</v>
      </c>
      <c r="AA30" s="13"/>
      <c r="AB30" s="124">
        <f>AB28+AB29</f>
        <v>544517.22601999994</v>
      </c>
      <c r="AC30" s="124">
        <f t="shared" ref="AC30:AD30" si="4">AC28+AC29</f>
        <v>457325.78156000003</v>
      </c>
      <c r="AD30" s="124">
        <f t="shared" si="4"/>
        <v>87191.444459999926</v>
      </c>
      <c r="AE30" s="124"/>
      <c r="AF30" s="124"/>
      <c r="AG30" s="124"/>
      <c r="AH30" s="125"/>
      <c r="AI30" s="124"/>
      <c r="AJ30" s="77"/>
      <c r="AK30" s="8"/>
      <c r="AL30" s="8"/>
    </row>
    <row r="31" spans="1:53" s="23" customFormat="1" ht="27.75" customHeight="1">
      <c r="A31" s="161" t="s">
        <v>21</v>
      </c>
      <c r="B31" s="148"/>
      <c r="C31" s="148"/>
      <c r="D31" s="148"/>
      <c r="E31" s="148"/>
      <c r="F31" s="119"/>
      <c r="G31" s="124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9"/>
      <c r="V31" s="19"/>
      <c r="W31" s="19"/>
      <c r="X31" s="19"/>
      <c r="Y31" s="19"/>
      <c r="Z31" s="19"/>
      <c r="AA31" s="17"/>
      <c r="AB31" s="19"/>
      <c r="AC31" s="19"/>
      <c r="AD31" s="19"/>
      <c r="AE31" s="19"/>
      <c r="AF31" s="19"/>
      <c r="AG31" s="19"/>
      <c r="AH31" s="59"/>
      <c r="AI31" s="19"/>
      <c r="AJ31" s="78"/>
      <c r="AK31" s="8"/>
      <c r="AL31" s="8"/>
    </row>
    <row r="32" spans="1:53" s="23" customFormat="1" ht="45.75" customHeight="1">
      <c r="A32" s="55">
        <v>4</v>
      </c>
      <c r="B32" s="16" t="s">
        <v>54</v>
      </c>
      <c r="C32" s="17" t="s">
        <v>22</v>
      </c>
      <c r="D32" s="17"/>
      <c r="E32" s="18">
        <f>42.63-37</f>
        <v>5.6300000000000026</v>
      </c>
      <c r="F32" s="18"/>
      <c r="G32" s="19">
        <v>141076.03742000001</v>
      </c>
      <c r="H32" s="21"/>
      <c r="I32" s="22"/>
      <c r="J32" s="22"/>
      <c r="K32" s="22"/>
      <c r="L32" s="27"/>
      <c r="M32" s="28"/>
      <c r="N32" s="22"/>
      <c r="O32" s="22"/>
      <c r="P32" s="20"/>
      <c r="Q32" s="22"/>
      <c r="R32" s="22"/>
      <c r="S32" s="22"/>
      <c r="T32" s="20">
        <f>E32</f>
        <v>5.6300000000000026</v>
      </c>
      <c r="U32" s="19"/>
      <c r="V32" s="19">
        <f>G32</f>
        <v>141076.03742000001</v>
      </c>
      <c r="W32" s="19"/>
      <c r="X32" s="19">
        <f>V32</f>
        <v>141076.03742000001</v>
      </c>
      <c r="Y32" s="19"/>
      <c r="Z32" s="19"/>
      <c r="AA32" s="20"/>
      <c r="AB32" s="19"/>
      <c r="AC32" s="19"/>
      <c r="AD32" s="19"/>
      <c r="AE32" s="19"/>
      <c r="AF32" s="19"/>
      <c r="AG32" s="19"/>
      <c r="AH32" s="59"/>
      <c r="AI32" s="19"/>
      <c r="AJ32" s="78"/>
      <c r="AK32" s="8"/>
      <c r="AL32" s="8"/>
    </row>
    <row r="33" spans="1:38" s="23" customFormat="1" ht="63.75" customHeight="1">
      <c r="A33" s="55">
        <v>5</v>
      </c>
      <c r="B33" s="16" t="s">
        <v>140</v>
      </c>
      <c r="C33" s="17" t="s">
        <v>16</v>
      </c>
      <c r="D33" s="17"/>
      <c r="E33" s="18">
        <f>4-0.015</f>
        <v>3.9849999999999999</v>
      </c>
      <c r="F33" s="18"/>
      <c r="G33" s="19">
        <v>103944.8</v>
      </c>
      <c r="H33" s="21"/>
      <c r="I33" s="22"/>
      <c r="J33" s="22"/>
      <c r="K33" s="22"/>
      <c r="L33" s="27"/>
      <c r="M33" s="28"/>
      <c r="N33" s="22"/>
      <c r="O33" s="22"/>
      <c r="P33" s="20"/>
      <c r="Q33" s="22"/>
      <c r="R33" s="22"/>
      <c r="S33" s="22"/>
      <c r="T33" s="20"/>
      <c r="U33" s="19"/>
      <c r="V33" s="19"/>
      <c r="W33" s="19"/>
      <c r="X33" s="19"/>
      <c r="Y33" s="19"/>
      <c r="Z33" s="20">
        <f>E33</f>
        <v>3.9849999999999999</v>
      </c>
      <c r="AA33" s="20"/>
      <c r="AB33" s="19">
        <f>G33</f>
        <v>103944.8</v>
      </c>
      <c r="AC33" s="19">
        <v>99787.007249999995</v>
      </c>
      <c r="AD33" s="19">
        <f t="shared" ref="AD33" si="5">AB33-AC33</f>
        <v>4157.7927500000078</v>
      </c>
      <c r="AE33" s="19"/>
      <c r="AF33" s="19"/>
      <c r="AG33" s="19"/>
      <c r="AH33" s="59"/>
      <c r="AI33" s="19"/>
      <c r="AJ33" s="78"/>
      <c r="AK33" s="8"/>
      <c r="AL33" s="8"/>
    </row>
    <row r="34" spans="1:38" s="23" customFormat="1" ht="29.25" customHeight="1">
      <c r="A34" s="56"/>
      <c r="B34" s="16" t="s">
        <v>55</v>
      </c>
      <c r="C34" s="17"/>
      <c r="D34" s="17"/>
      <c r="E34" s="18">
        <f>SUM(E32:E33)</f>
        <v>9.615000000000002</v>
      </c>
      <c r="F34" s="18"/>
      <c r="G34" s="19">
        <f>SUM(G32:G33)</f>
        <v>245020.83742</v>
      </c>
      <c r="H34" s="21"/>
      <c r="I34" s="22"/>
      <c r="J34" s="22"/>
      <c r="K34" s="22"/>
      <c r="L34" s="27"/>
      <c r="M34" s="28"/>
      <c r="N34" s="22"/>
      <c r="O34" s="22"/>
      <c r="P34" s="20"/>
      <c r="Q34" s="22"/>
      <c r="R34" s="22"/>
      <c r="S34" s="22"/>
      <c r="T34" s="18">
        <f>SUM(T32:T32)</f>
        <v>5.6300000000000026</v>
      </c>
      <c r="U34" s="18"/>
      <c r="V34" s="19">
        <f>SUM(V32:V32)</f>
        <v>141076.03742000001</v>
      </c>
      <c r="W34" s="19">
        <f>SUM(W32:W32)</f>
        <v>0</v>
      </c>
      <c r="X34" s="19">
        <f>SUM(X32:X32)</f>
        <v>141076.03742000001</v>
      </c>
      <c r="Y34" s="19"/>
      <c r="Z34" s="20">
        <f>SUM(Z33)</f>
        <v>3.9849999999999999</v>
      </c>
      <c r="AA34" s="20"/>
      <c r="AB34" s="19">
        <f>AB33</f>
        <v>103944.8</v>
      </c>
      <c r="AC34" s="19">
        <f>AC33</f>
        <v>99787.007249999995</v>
      </c>
      <c r="AD34" s="19">
        <f>AD33</f>
        <v>4157.7927500000078</v>
      </c>
      <c r="AE34" s="19"/>
      <c r="AF34" s="19"/>
      <c r="AG34" s="19"/>
      <c r="AH34" s="59"/>
      <c r="AI34" s="19"/>
      <c r="AJ34" s="78"/>
      <c r="AK34" s="8"/>
      <c r="AL34" s="8"/>
    </row>
    <row r="35" spans="1:38" s="23" customFormat="1" ht="26.25" customHeight="1">
      <c r="A35" s="56"/>
      <c r="B35" s="16" t="s">
        <v>53</v>
      </c>
      <c r="C35" s="17"/>
      <c r="D35" s="17"/>
      <c r="E35" s="18">
        <f>T35+Z35</f>
        <v>15.504999999999999</v>
      </c>
      <c r="F35" s="18"/>
      <c r="G35" s="19">
        <f>V35+AB35</f>
        <v>123647.5</v>
      </c>
      <c r="H35" s="21"/>
      <c r="I35" s="22"/>
      <c r="J35" s="22"/>
      <c r="K35" s="22"/>
      <c r="L35" s="27"/>
      <c r="M35" s="28"/>
      <c r="N35" s="22"/>
      <c r="O35" s="22"/>
      <c r="P35" s="20"/>
      <c r="Q35" s="22"/>
      <c r="R35" s="22"/>
      <c r="S35" s="22"/>
      <c r="T35" s="18">
        <v>10.148</v>
      </c>
      <c r="U35" s="18"/>
      <c r="V35" s="19">
        <v>76863</v>
      </c>
      <c r="W35" s="19"/>
      <c r="X35" s="19">
        <f>V35</f>
        <v>76863</v>
      </c>
      <c r="Y35" s="19"/>
      <c r="Z35" s="18">
        <v>5.3570000000000002</v>
      </c>
      <c r="AA35" s="20"/>
      <c r="AB35" s="19">
        <v>46784.5</v>
      </c>
      <c r="AC35" s="20"/>
      <c r="AD35" s="19">
        <f>AB35</f>
        <v>46784.5</v>
      </c>
      <c r="AE35" s="19"/>
      <c r="AF35" s="19"/>
      <c r="AG35" s="19"/>
      <c r="AH35" s="59"/>
      <c r="AI35" s="19"/>
      <c r="AJ35" s="78"/>
      <c r="AK35" s="8"/>
      <c r="AL35" s="8"/>
    </row>
    <row r="36" spans="1:38" s="23" customFormat="1" ht="37.5" customHeight="1">
      <c r="A36" s="159" t="s">
        <v>100</v>
      </c>
      <c r="B36" s="160"/>
      <c r="C36" s="17"/>
      <c r="D36" s="17"/>
      <c r="E36" s="13">
        <f>SUM(E34:E35)</f>
        <v>25.12</v>
      </c>
      <c r="F36" s="13"/>
      <c r="G36" s="124">
        <f>SUM(G34:G35)</f>
        <v>368668.33742</v>
      </c>
      <c r="H36" s="13" t="e">
        <f>SUM(#REF!)</f>
        <v>#REF!</v>
      </c>
      <c r="I36" s="14" t="e">
        <f>SUM(#REF!)</f>
        <v>#REF!</v>
      </c>
      <c r="J36" s="14" t="e">
        <f>SUM(#REF!)</f>
        <v>#REF!</v>
      </c>
      <c r="K36" s="14"/>
      <c r="L36" s="13" t="e">
        <f>SUM(#REF!)</f>
        <v>#REF!</v>
      </c>
      <c r="M36" s="14" t="e">
        <f>SUM(#REF!)</f>
        <v>#REF!</v>
      </c>
      <c r="N36" s="14" t="e">
        <f>SUM(#REF!)</f>
        <v>#REF!</v>
      </c>
      <c r="O36" s="14" t="e">
        <f>SUM(#REF!)</f>
        <v>#REF!</v>
      </c>
      <c r="P36" s="33" t="e">
        <f>SUM(#REF!)</f>
        <v>#REF!</v>
      </c>
      <c r="Q36" s="14" t="e">
        <f>SUM(#REF!)</f>
        <v>#REF!</v>
      </c>
      <c r="R36" s="14" t="e">
        <f>SUM(#REF!)</f>
        <v>#REF!</v>
      </c>
      <c r="S36" s="14"/>
      <c r="T36" s="13">
        <f>SUM(T34:T35)</f>
        <v>15.778000000000002</v>
      </c>
      <c r="U36" s="13"/>
      <c r="V36" s="124">
        <f>SUM(V34:V35)</f>
        <v>217939.03742000001</v>
      </c>
      <c r="W36" s="124">
        <f t="shared" ref="W36:X36" si="6">SUM(W34:W35)</f>
        <v>0</v>
      </c>
      <c r="X36" s="124">
        <f t="shared" si="6"/>
        <v>217939.03742000001</v>
      </c>
      <c r="Y36" s="124"/>
      <c r="Z36" s="124">
        <f>SUM(Z34:Z35)</f>
        <v>9.3420000000000005</v>
      </c>
      <c r="AA36" s="13"/>
      <c r="AB36" s="124">
        <f>SUM(AB34:AB35)</f>
        <v>150729.29999999999</v>
      </c>
      <c r="AC36" s="124">
        <f t="shared" ref="AC36:AD36" si="7">SUM(AC34:AC35)</f>
        <v>99787.007249999995</v>
      </c>
      <c r="AD36" s="124">
        <f t="shared" si="7"/>
        <v>50942.292750000008</v>
      </c>
      <c r="AE36" s="124"/>
      <c r="AF36" s="124"/>
      <c r="AG36" s="124"/>
      <c r="AH36" s="125"/>
      <c r="AI36" s="124"/>
      <c r="AJ36" s="77"/>
      <c r="AK36" s="8"/>
      <c r="AL36" s="8"/>
    </row>
    <row r="37" spans="1:38" s="23" customFormat="1" ht="37.5" customHeight="1">
      <c r="A37" s="161" t="s">
        <v>155</v>
      </c>
      <c r="B37" s="148"/>
      <c r="C37" s="148"/>
      <c r="D37" s="148"/>
      <c r="E37" s="148"/>
      <c r="F37" s="119"/>
      <c r="G37" s="124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9"/>
      <c r="V37" s="19"/>
      <c r="W37" s="19"/>
      <c r="X37" s="19"/>
      <c r="Y37" s="19"/>
      <c r="Z37" s="19"/>
      <c r="AA37" s="17"/>
      <c r="AB37" s="19"/>
      <c r="AC37" s="19"/>
      <c r="AD37" s="19"/>
      <c r="AE37" s="19"/>
      <c r="AF37" s="19"/>
      <c r="AG37" s="19"/>
      <c r="AH37" s="59"/>
      <c r="AI37" s="19"/>
      <c r="AJ37" s="78"/>
      <c r="AK37" s="8"/>
      <c r="AL37" s="8"/>
    </row>
    <row r="38" spans="1:38" s="23" customFormat="1" ht="43.5" hidden="1" customHeight="1">
      <c r="A38" s="56"/>
      <c r="B38" s="16" t="s">
        <v>33</v>
      </c>
      <c r="C38" s="17" t="s">
        <v>27</v>
      </c>
      <c r="D38" s="17"/>
      <c r="E38" s="18"/>
      <c r="F38" s="18"/>
      <c r="G38" s="19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9"/>
      <c r="V38" s="19"/>
      <c r="W38" s="19"/>
      <c r="X38" s="19"/>
      <c r="Y38" s="19"/>
      <c r="Z38" s="19"/>
      <c r="AA38" s="29"/>
      <c r="AB38" s="24"/>
      <c r="AC38" s="24"/>
      <c r="AD38" s="24"/>
      <c r="AE38" s="24"/>
      <c r="AF38" s="24"/>
      <c r="AG38" s="19"/>
      <c r="AH38" s="59"/>
      <c r="AI38" s="19"/>
      <c r="AJ38" s="78"/>
      <c r="AK38" s="8"/>
      <c r="AL38" s="8"/>
    </row>
    <row r="39" spans="1:38" s="23" customFormat="1" ht="45.2" hidden="1" customHeight="1">
      <c r="A39" s="56">
        <v>10</v>
      </c>
      <c r="B39" s="16" t="s">
        <v>34</v>
      </c>
      <c r="C39" s="17" t="s">
        <v>16</v>
      </c>
      <c r="D39" s="17"/>
      <c r="E39" s="20"/>
      <c r="F39" s="20"/>
      <c r="G39" s="19"/>
      <c r="H39" s="21"/>
      <c r="I39" s="22"/>
      <c r="J39" s="22"/>
      <c r="K39" s="22"/>
      <c r="L39" s="20"/>
      <c r="M39" s="22"/>
      <c r="N39" s="22"/>
      <c r="O39" s="22"/>
      <c r="P39" s="20"/>
      <c r="Q39" s="22"/>
      <c r="R39" s="22"/>
      <c r="S39" s="22"/>
      <c r="T39" s="20"/>
      <c r="U39" s="19"/>
      <c r="V39" s="19"/>
      <c r="W39" s="19"/>
      <c r="X39" s="19"/>
      <c r="Y39" s="19"/>
      <c r="Z39" s="19"/>
      <c r="AA39" s="20"/>
      <c r="AB39" s="19"/>
      <c r="AC39" s="19"/>
      <c r="AD39" s="19"/>
      <c r="AE39" s="19"/>
      <c r="AF39" s="19"/>
      <c r="AG39" s="19"/>
      <c r="AH39" s="59"/>
      <c r="AI39" s="19"/>
      <c r="AJ39" s="78"/>
      <c r="AK39" s="8"/>
      <c r="AL39" s="8"/>
    </row>
    <row r="40" spans="1:38" s="23" customFormat="1" ht="59.25" customHeight="1">
      <c r="A40" s="55">
        <v>6</v>
      </c>
      <c r="B40" s="16" t="s">
        <v>127</v>
      </c>
      <c r="C40" s="17" t="s">
        <v>16</v>
      </c>
      <c r="D40" s="17"/>
      <c r="E40" s="18">
        <f>0.9-0.032</f>
        <v>0.86799999999999999</v>
      </c>
      <c r="F40" s="20"/>
      <c r="G40" s="19">
        <v>23548.951959999999</v>
      </c>
      <c r="H40" s="21"/>
      <c r="I40" s="22"/>
      <c r="J40" s="22"/>
      <c r="K40" s="22"/>
      <c r="L40" s="20"/>
      <c r="M40" s="22"/>
      <c r="N40" s="22"/>
      <c r="O40" s="22"/>
      <c r="P40" s="20"/>
      <c r="Q40" s="22"/>
      <c r="R40" s="22"/>
      <c r="S40" s="22"/>
      <c r="T40" s="20"/>
      <c r="U40" s="19"/>
      <c r="V40" s="19"/>
      <c r="W40" s="19"/>
      <c r="X40" s="19"/>
      <c r="Y40" s="19"/>
      <c r="Z40" s="18">
        <f>E40</f>
        <v>0.86799999999999999</v>
      </c>
      <c r="AA40" s="20"/>
      <c r="AB40" s="19">
        <f>G40</f>
        <v>23548.951959999999</v>
      </c>
      <c r="AC40" s="19">
        <v>22606.993709999999</v>
      </c>
      <c r="AD40" s="19">
        <f t="shared" ref="AD40:AD41" si="8">AB40-AC40</f>
        <v>941.95824999999968</v>
      </c>
      <c r="AE40" s="19"/>
      <c r="AF40" s="19"/>
      <c r="AG40" s="19" t="s">
        <v>18</v>
      </c>
      <c r="AH40" s="59" t="s">
        <v>0</v>
      </c>
      <c r="AI40" s="19"/>
      <c r="AJ40" s="78"/>
      <c r="AK40" s="8"/>
      <c r="AL40" s="8"/>
    </row>
    <row r="41" spans="1:38" s="23" customFormat="1" ht="77.25" customHeight="1">
      <c r="A41" s="55">
        <v>7</v>
      </c>
      <c r="B41" s="16" t="s">
        <v>128</v>
      </c>
      <c r="C41" s="17" t="s">
        <v>16</v>
      </c>
      <c r="D41" s="17"/>
      <c r="E41" s="18">
        <v>4.7640000000000002</v>
      </c>
      <c r="F41" s="20"/>
      <c r="G41" s="19">
        <v>146846.70000000001</v>
      </c>
      <c r="H41" s="21"/>
      <c r="I41" s="22"/>
      <c r="J41" s="22"/>
      <c r="K41" s="22"/>
      <c r="L41" s="20"/>
      <c r="M41" s="22"/>
      <c r="N41" s="22"/>
      <c r="O41" s="22"/>
      <c r="P41" s="20"/>
      <c r="Q41" s="22"/>
      <c r="R41" s="22"/>
      <c r="S41" s="22"/>
      <c r="T41" s="20"/>
      <c r="U41" s="19"/>
      <c r="V41" s="19"/>
      <c r="W41" s="19"/>
      <c r="X41" s="19"/>
      <c r="Y41" s="19"/>
      <c r="Z41" s="18">
        <f>E41</f>
        <v>4.7640000000000002</v>
      </c>
      <c r="AA41" s="20"/>
      <c r="AB41" s="19">
        <f>G41</f>
        <v>146846.70000000001</v>
      </c>
      <c r="AC41" s="19">
        <v>140972.83095</v>
      </c>
      <c r="AD41" s="19">
        <f t="shared" si="8"/>
        <v>5873.8690500000084</v>
      </c>
      <c r="AE41" s="19"/>
      <c r="AF41" s="19"/>
      <c r="AG41" s="19"/>
      <c r="AH41" s="59"/>
      <c r="AI41" s="19"/>
      <c r="AJ41" s="78"/>
      <c r="AK41" s="8"/>
      <c r="AL41" s="8"/>
    </row>
    <row r="42" spans="1:38" s="23" customFormat="1" ht="39" customHeight="1">
      <c r="A42" s="159" t="s">
        <v>156</v>
      </c>
      <c r="B42" s="160"/>
      <c r="C42" s="17"/>
      <c r="D42" s="17"/>
      <c r="E42" s="13">
        <f>SUM(E40:E41)</f>
        <v>5.6320000000000006</v>
      </c>
      <c r="F42" s="13"/>
      <c r="G42" s="124">
        <f>SUM(G40:G41)</f>
        <v>170395.65196000002</v>
      </c>
      <c r="H42" s="13" t="e">
        <f>SUM(#REF!)</f>
        <v>#REF!</v>
      </c>
      <c r="I42" s="14" t="e">
        <f>SUM(#REF!)</f>
        <v>#REF!</v>
      </c>
      <c r="J42" s="14" t="e">
        <f>SUM(#REF!)</f>
        <v>#REF!</v>
      </c>
      <c r="K42" s="14"/>
      <c r="L42" s="13" t="e">
        <f>SUM(#REF!)</f>
        <v>#REF!</v>
      </c>
      <c r="M42" s="14"/>
      <c r="N42" s="14"/>
      <c r="O42" s="14"/>
      <c r="P42" s="13">
        <f>SUM(P39:P39)</f>
        <v>0</v>
      </c>
      <c r="Q42" s="14">
        <f>SUM(Q39:Q39)</f>
        <v>0</v>
      </c>
      <c r="R42" s="14">
        <f>SUM(R39:R39)</f>
        <v>0</v>
      </c>
      <c r="S42" s="14"/>
      <c r="T42" s="13"/>
      <c r="U42" s="13"/>
      <c r="V42" s="124"/>
      <c r="W42" s="124"/>
      <c r="X42" s="124"/>
      <c r="Y42" s="124"/>
      <c r="Z42" s="13">
        <f>SUM(Z40:Z41)</f>
        <v>5.6320000000000006</v>
      </c>
      <c r="AA42" s="13"/>
      <c r="AB42" s="124">
        <f>SUM(AB40:AB41)</f>
        <v>170395.65196000002</v>
      </c>
      <c r="AC42" s="124">
        <f>SUM(AC40:AC41)</f>
        <v>163579.82466000001</v>
      </c>
      <c r="AD42" s="124">
        <f>SUM(AD40:AD41)</f>
        <v>6815.8273000000081</v>
      </c>
      <c r="AE42" s="124"/>
      <c r="AF42" s="124"/>
      <c r="AG42" s="124"/>
      <c r="AH42" s="125"/>
      <c r="AI42" s="124"/>
      <c r="AJ42" s="77"/>
      <c r="AK42" s="8"/>
      <c r="AL42" s="8"/>
    </row>
    <row r="43" spans="1:38" s="23" customFormat="1" ht="27" customHeight="1">
      <c r="A43" s="161" t="s">
        <v>23</v>
      </c>
      <c r="B43" s="148"/>
      <c r="C43" s="148"/>
      <c r="D43" s="148"/>
      <c r="E43" s="148"/>
      <c r="F43" s="119"/>
      <c r="G43" s="124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9"/>
      <c r="V43" s="19"/>
      <c r="W43" s="19"/>
      <c r="X43" s="19"/>
      <c r="Y43" s="19"/>
      <c r="Z43" s="19"/>
      <c r="AA43" s="17"/>
      <c r="AB43" s="19"/>
      <c r="AC43" s="19"/>
      <c r="AD43" s="19"/>
      <c r="AE43" s="19"/>
      <c r="AF43" s="19"/>
      <c r="AG43" s="19"/>
      <c r="AH43" s="59"/>
      <c r="AI43" s="19"/>
      <c r="AJ43" s="78"/>
      <c r="AK43" s="8"/>
      <c r="AL43" s="8"/>
    </row>
    <row r="44" spans="1:38" s="23" customFormat="1" ht="46.5" customHeight="1">
      <c r="A44" s="55">
        <v>8</v>
      </c>
      <c r="B44" s="26" t="s">
        <v>85</v>
      </c>
      <c r="C44" s="17" t="s">
        <v>16</v>
      </c>
      <c r="D44" s="17"/>
      <c r="E44" s="21">
        <v>3</v>
      </c>
      <c r="F44" s="21"/>
      <c r="G44" s="19">
        <v>81339.079429999998</v>
      </c>
      <c r="H44" s="21"/>
      <c r="I44" s="22"/>
      <c r="J44" s="22"/>
      <c r="K44" s="22"/>
      <c r="L44" s="27"/>
      <c r="M44" s="28"/>
      <c r="N44" s="22"/>
      <c r="O44" s="22"/>
      <c r="P44" s="20"/>
      <c r="Q44" s="22"/>
      <c r="R44" s="22"/>
      <c r="S44" s="22"/>
      <c r="T44" s="20"/>
      <c r="U44" s="19"/>
      <c r="V44" s="19"/>
      <c r="W44" s="19"/>
      <c r="X44" s="19"/>
      <c r="Y44" s="19"/>
      <c r="Z44" s="21">
        <v>3</v>
      </c>
      <c r="AA44" s="20"/>
      <c r="AB44" s="19">
        <f>G44</f>
        <v>81339.079429999998</v>
      </c>
      <c r="AC44" s="19">
        <v>78085.515669999993</v>
      </c>
      <c r="AD44" s="19">
        <f t="shared" ref="AD44" si="9">AB44-AC44</f>
        <v>3253.5637600000045</v>
      </c>
      <c r="AE44" s="19"/>
      <c r="AF44" s="19"/>
      <c r="AG44" s="19"/>
      <c r="AH44" s="59"/>
      <c r="AI44" s="19"/>
      <c r="AJ44" s="78"/>
      <c r="AK44" s="8"/>
      <c r="AL44" s="8"/>
    </row>
    <row r="45" spans="1:38" s="23" customFormat="1" ht="30" customHeight="1">
      <c r="A45" s="159" t="s">
        <v>101</v>
      </c>
      <c r="B45" s="160"/>
      <c r="C45" s="17"/>
      <c r="D45" s="17"/>
      <c r="E45" s="13">
        <f>SUM(E44:E44)</f>
        <v>3</v>
      </c>
      <c r="F45" s="13"/>
      <c r="G45" s="124">
        <f>SUM(G44:G44)</f>
        <v>81339.079429999998</v>
      </c>
      <c r="H45" s="13" t="e">
        <f>SUM(#REF!)</f>
        <v>#REF!</v>
      </c>
      <c r="I45" s="14" t="e">
        <f>SUM(#REF!)</f>
        <v>#REF!</v>
      </c>
      <c r="J45" s="14" t="e">
        <f>SUM(#REF!)</f>
        <v>#REF!</v>
      </c>
      <c r="K45" s="14"/>
      <c r="L45" s="13" t="e">
        <f>SUM(#REF!)</f>
        <v>#REF!</v>
      </c>
      <c r="M45" s="14" t="e">
        <f>SUM(#REF!)</f>
        <v>#REF!</v>
      </c>
      <c r="N45" s="14" t="e">
        <f>SUM(#REF!)</f>
        <v>#REF!</v>
      </c>
      <c r="O45" s="14"/>
      <c r="P45" s="13" t="e">
        <f>SUM(#REF!)</f>
        <v>#REF!</v>
      </c>
      <c r="Q45" s="14" t="e">
        <f>SUM(#REF!)</f>
        <v>#REF!</v>
      </c>
      <c r="R45" s="14" t="e">
        <f>SUM(#REF!)</f>
        <v>#REF!</v>
      </c>
      <c r="S45" s="14"/>
      <c r="T45" s="13"/>
      <c r="U45" s="13"/>
      <c r="V45" s="124"/>
      <c r="W45" s="124"/>
      <c r="X45" s="124"/>
      <c r="Y45" s="124"/>
      <c r="Z45" s="13">
        <f>SUM(Z44:Z44)</f>
        <v>3</v>
      </c>
      <c r="AA45" s="13"/>
      <c r="AB45" s="124">
        <f>SUM(AB44:AB44)</f>
        <v>81339.079429999998</v>
      </c>
      <c r="AC45" s="124">
        <f>SUM(AC44:AC44)</f>
        <v>78085.515669999993</v>
      </c>
      <c r="AD45" s="124">
        <f>SUM(AD44:AD44)</f>
        <v>3253.5637600000045</v>
      </c>
      <c r="AE45" s="124"/>
      <c r="AF45" s="124"/>
      <c r="AG45" s="124"/>
      <c r="AH45" s="125"/>
      <c r="AI45" s="124"/>
      <c r="AJ45" s="77"/>
      <c r="AK45" s="8"/>
      <c r="AL45" s="8"/>
    </row>
    <row r="46" spans="1:38" s="23" customFormat="1" ht="30.75" customHeight="1">
      <c r="A46" s="161" t="s">
        <v>24</v>
      </c>
      <c r="B46" s="148"/>
      <c r="C46" s="148"/>
      <c r="D46" s="148"/>
      <c r="E46" s="148"/>
      <c r="F46" s="119"/>
      <c r="G46" s="124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9"/>
      <c r="V46" s="19"/>
      <c r="W46" s="19"/>
      <c r="X46" s="19"/>
      <c r="Y46" s="19"/>
      <c r="Z46" s="19"/>
      <c r="AA46" s="17"/>
      <c r="AB46" s="19"/>
      <c r="AC46" s="19"/>
      <c r="AD46" s="19"/>
      <c r="AE46" s="19"/>
      <c r="AF46" s="19"/>
      <c r="AG46" s="19"/>
      <c r="AH46" s="59"/>
      <c r="AI46" s="19"/>
      <c r="AJ46" s="78"/>
      <c r="AK46" s="8"/>
      <c r="AL46" s="8"/>
    </row>
    <row r="47" spans="1:38" s="23" customFormat="1" ht="49.5" hidden="1" customHeight="1">
      <c r="A47" s="56">
        <v>19</v>
      </c>
      <c r="B47" s="26" t="s">
        <v>36</v>
      </c>
      <c r="C47" s="17" t="s">
        <v>16</v>
      </c>
      <c r="D47" s="17"/>
      <c r="E47" s="29"/>
      <c r="F47" s="29"/>
      <c r="G47" s="19"/>
      <c r="H47" s="21"/>
      <c r="I47" s="22"/>
      <c r="J47" s="22"/>
      <c r="K47" s="22"/>
      <c r="L47" s="27"/>
      <c r="M47" s="28"/>
      <c r="N47" s="22"/>
      <c r="O47" s="22"/>
      <c r="P47" s="20"/>
      <c r="Q47" s="22"/>
      <c r="R47" s="22"/>
      <c r="S47" s="22"/>
      <c r="T47" s="29"/>
      <c r="U47" s="19"/>
      <c r="V47" s="19"/>
      <c r="W47" s="19"/>
      <c r="X47" s="19"/>
      <c r="Y47" s="19"/>
      <c r="Z47" s="19"/>
      <c r="AA47" s="20"/>
      <c r="AB47" s="19"/>
      <c r="AC47" s="19"/>
      <c r="AD47" s="19"/>
      <c r="AE47" s="19"/>
      <c r="AF47" s="19"/>
      <c r="AG47" s="19"/>
      <c r="AH47" s="59"/>
      <c r="AI47" s="19"/>
      <c r="AJ47" s="78"/>
      <c r="AK47" s="8"/>
      <c r="AL47" s="8"/>
    </row>
    <row r="48" spans="1:38" s="23" customFormat="1" ht="32.25" customHeight="1">
      <c r="A48" s="55">
        <v>9</v>
      </c>
      <c r="B48" s="26" t="s">
        <v>56</v>
      </c>
      <c r="C48" s="17" t="s">
        <v>16</v>
      </c>
      <c r="D48" s="17"/>
      <c r="E48" s="29">
        <v>3.6</v>
      </c>
      <c r="F48" s="29"/>
      <c r="G48" s="19">
        <v>89465.626940000002</v>
      </c>
      <c r="H48" s="21"/>
      <c r="I48" s="22"/>
      <c r="J48" s="22"/>
      <c r="K48" s="22"/>
      <c r="L48" s="27"/>
      <c r="M48" s="28"/>
      <c r="N48" s="22"/>
      <c r="O48" s="22"/>
      <c r="P48" s="20"/>
      <c r="Q48" s="22"/>
      <c r="R48" s="22"/>
      <c r="S48" s="22"/>
      <c r="T48" s="20">
        <f>E48</f>
        <v>3.6</v>
      </c>
      <c r="U48" s="24"/>
      <c r="V48" s="24">
        <f>G48</f>
        <v>89465.626940000002</v>
      </c>
      <c r="W48" s="24"/>
      <c r="X48" s="24">
        <f>V48</f>
        <v>89465.626940000002</v>
      </c>
      <c r="Y48" s="24"/>
      <c r="Z48" s="19"/>
      <c r="AA48" s="20"/>
      <c r="AB48" s="24"/>
      <c r="AC48" s="24"/>
      <c r="AD48" s="24"/>
      <c r="AE48" s="24"/>
      <c r="AF48" s="24"/>
      <c r="AG48" s="19"/>
      <c r="AH48" s="59"/>
      <c r="AI48" s="19"/>
      <c r="AJ48" s="78"/>
      <c r="AK48" s="8"/>
      <c r="AL48" s="8"/>
    </row>
    <row r="49" spans="1:38" s="23" customFormat="1" ht="43.5" hidden="1" customHeight="1">
      <c r="A49" s="55"/>
      <c r="B49" s="26" t="s">
        <v>43</v>
      </c>
      <c r="C49" s="17" t="s">
        <v>16</v>
      </c>
      <c r="D49" s="17"/>
      <c r="E49" s="29"/>
      <c r="F49" s="29"/>
      <c r="G49" s="19"/>
      <c r="H49" s="21"/>
      <c r="I49" s="22"/>
      <c r="J49" s="22"/>
      <c r="K49" s="22"/>
      <c r="L49" s="27"/>
      <c r="M49" s="28"/>
      <c r="N49" s="22"/>
      <c r="O49" s="22"/>
      <c r="P49" s="20"/>
      <c r="Q49" s="22"/>
      <c r="R49" s="22"/>
      <c r="S49" s="22"/>
      <c r="T49" s="29"/>
      <c r="U49" s="19"/>
      <c r="V49" s="19"/>
      <c r="W49" s="19"/>
      <c r="X49" s="19"/>
      <c r="Y49" s="19"/>
      <c r="Z49" s="19"/>
      <c r="AA49" s="20"/>
      <c r="AB49" s="24"/>
      <c r="AC49" s="24"/>
      <c r="AD49" s="24"/>
      <c r="AE49" s="24"/>
      <c r="AF49" s="24"/>
      <c r="AG49" s="19"/>
      <c r="AH49" s="59"/>
      <c r="AI49" s="19"/>
      <c r="AJ49" s="78"/>
      <c r="AK49" s="8"/>
      <c r="AL49" s="8"/>
    </row>
    <row r="50" spans="1:38" s="23" customFormat="1" ht="63.2" hidden="1" customHeight="1">
      <c r="A50" s="55"/>
      <c r="B50" s="26" t="s">
        <v>37</v>
      </c>
      <c r="C50" s="17" t="s">
        <v>16</v>
      </c>
      <c r="D50" s="17"/>
      <c r="E50" s="29"/>
      <c r="F50" s="29"/>
      <c r="G50" s="19"/>
      <c r="H50" s="21"/>
      <c r="I50" s="22"/>
      <c r="J50" s="22"/>
      <c r="K50" s="22"/>
      <c r="L50" s="27"/>
      <c r="M50" s="28"/>
      <c r="N50" s="22"/>
      <c r="O50" s="22"/>
      <c r="P50" s="20"/>
      <c r="Q50" s="22"/>
      <c r="R50" s="22"/>
      <c r="S50" s="22"/>
      <c r="T50" s="29"/>
      <c r="U50" s="19"/>
      <c r="V50" s="19"/>
      <c r="W50" s="19"/>
      <c r="X50" s="19"/>
      <c r="Y50" s="19"/>
      <c r="Z50" s="19"/>
      <c r="AA50" s="20"/>
      <c r="AB50" s="19"/>
      <c r="AC50" s="19"/>
      <c r="AD50" s="19"/>
      <c r="AE50" s="19"/>
      <c r="AF50" s="19"/>
      <c r="AG50" s="19"/>
      <c r="AH50" s="59"/>
      <c r="AI50" s="19"/>
      <c r="AJ50" s="78"/>
      <c r="AK50" s="8"/>
      <c r="AL50" s="8"/>
    </row>
    <row r="51" spans="1:38" s="23" customFormat="1" ht="63.2" hidden="1" customHeight="1" thickBot="1">
      <c r="A51" s="55">
        <v>23</v>
      </c>
      <c r="B51" s="26" t="s">
        <v>38</v>
      </c>
      <c r="C51" s="17" t="s">
        <v>16</v>
      </c>
      <c r="D51" s="17"/>
      <c r="E51" s="29"/>
      <c r="F51" s="29"/>
      <c r="G51" s="19"/>
      <c r="H51" s="21"/>
      <c r="I51" s="22"/>
      <c r="J51" s="22"/>
      <c r="K51" s="22"/>
      <c r="L51" s="27"/>
      <c r="M51" s="28"/>
      <c r="N51" s="22"/>
      <c r="O51" s="22"/>
      <c r="P51" s="20"/>
      <c r="Q51" s="22"/>
      <c r="R51" s="22"/>
      <c r="S51" s="22"/>
      <c r="T51" s="29"/>
      <c r="U51" s="19"/>
      <c r="V51" s="19"/>
      <c r="W51" s="19"/>
      <c r="X51" s="19"/>
      <c r="Y51" s="19"/>
      <c r="Z51" s="19"/>
      <c r="AA51" s="20"/>
      <c r="AB51" s="19"/>
      <c r="AC51" s="19"/>
      <c r="AD51" s="19"/>
      <c r="AE51" s="19"/>
      <c r="AF51" s="19"/>
      <c r="AG51" s="19"/>
      <c r="AH51" s="59"/>
      <c r="AI51" s="19"/>
      <c r="AJ51" s="78"/>
      <c r="AK51" s="8"/>
      <c r="AL51" s="8"/>
    </row>
    <row r="52" spans="1:38" s="23" customFormat="1" ht="63.2" customHeight="1">
      <c r="A52" s="55">
        <v>10</v>
      </c>
      <c r="B52" s="26" t="s">
        <v>141</v>
      </c>
      <c r="C52" s="17" t="s">
        <v>16</v>
      </c>
      <c r="D52" s="17"/>
      <c r="E52" s="29">
        <f>14-6.85</f>
        <v>7.15</v>
      </c>
      <c r="F52" s="29"/>
      <c r="G52" s="19">
        <v>214799.54725999999</v>
      </c>
      <c r="H52" s="21"/>
      <c r="I52" s="22"/>
      <c r="J52" s="22"/>
      <c r="K52" s="22"/>
      <c r="L52" s="27"/>
      <c r="M52" s="28"/>
      <c r="N52" s="22"/>
      <c r="O52" s="22"/>
      <c r="P52" s="20"/>
      <c r="Q52" s="22"/>
      <c r="R52" s="22"/>
      <c r="S52" s="22"/>
      <c r="T52" s="29"/>
      <c r="U52" s="19"/>
      <c r="V52" s="19"/>
      <c r="W52" s="19"/>
      <c r="X52" s="19"/>
      <c r="Y52" s="19"/>
      <c r="Z52" s="20">
        <f>E52</f>
        <v>7.15</v>
      </c>
      <c r="AA52" s="20"/>
      <c r="AB52" s="19">
        <f>G52</f>
        <v>214799.54725999999</v>
      </c>
      <c r="AC52" s="19">
        <v>206207.56383</v>
      </c>
      <c r="AD52" s="19">
        <f t="shared" ref="AD52" si="10">AB52-AC52</f>
        <v>8591.9834299999929</v>
      </c>
      <c r="AE52" s="19"/>
      <c r="AF52" s="19"/>
      <c r="AG52" s="19"/>
      <c r="AH52" s="59"/>
      <c r="AI52" s="19"/>
      <c r="AJ52" s="78"/>
      <c r="AK52" s="8"/>
      <c r="AL52" s="8"/>
    </row>
    <row r="53" spans="1:38" s="23" customFormat="1" ht="32.25" customHeight="1">
      <c r="A53" s="159" t="s">
        <v>102</v>
      </c>
      <c r="B53" s="160"/>
      <c r="C53" s="17"/>
      <c r="D53" s="17"/>
      <c r="E53" s="13">
        <f>SUM(E48:E52)</f>
        <v>10.75</v>
      </c>
      <c r="F53" s="13"/>
      <c r="G53" s="124">
        <f>SUM(G48:G52)</f>
        <v>304265.17420000001</v>
      </c>
      <c r="H53" s="13" t="e">
        <f>SUM(#REF!)</f>
        <v>#REF!</v>
      </c>
      <c r="I53" s="14" t="e">
        <f>SUM(#REF!)</f>
        <v>#REF!</v>
      </c>
      <c r="J53" s="14" t="e">
        <f>SUM(#REF!)</f>
        <v>#REF!</v>
      </c>
      <c r="K53" s="14"/>
      <c r="L53" s="13" t="e">
        <f>SUM(#REF!)</f>
        <v>#REF!</v>
      </c>
      <c r="M53" s="14" t="e">
        <f>SUM(#REF!)</f>
        <v>#REF!</v>
      </c>
      <c r="N53" s="14" t="e">
        <f>SUM(#REF!)</f>
        <v>#REF!</v>
      </c>
      <c r="O53" s="14" t="e">
        <f>SUM(#REF!)</f>
        <v>#REF!</v>
      </c>
      <c r="P53" s="13">
        <f>SUM(P47:P49)</f>
        <v>0</v>
      </c>
      <c r="Q53" s="14">
        <f>SUM(Q47:Q49)</f>
        <v>0</v>
      </c>
      <c r="R53" s="14">
        <f>SUM(R47:R49)</f>
        <v>0</v>
      </c>
      <c r="S53" s="14">
        <f>SUM(S47:S49)</f>
        <v>0</v>
      </c>
      <c r="T53" s="13">
        <f>SUM(T47:T49)</f>
        <v>3.6</v>
      </c>
      <c r="U53" s="124"/>
      <c r="V53" s="124">
        <f>SUM(V47:V49)</f>
        <v>89465.626940000002</v>
      </c>
      <c r="W53" s="124"/>
      <c r="X53" s="124">
        <f>SUM(X47:X49)</f>
        <v>89465.626940000002</v>
      </c>
      <c r="Y53" s="124"/>
      <c r="Z53" s="13">
        <f>SUM(Z48:Z52)</f>
        <v>7.15</v>
      </c>
      <c r="AA53" s="13"/>
      <c r="AB53" s="124">
        <f>SUM(AB48:AB52)</f>
        <v>214799.54725999999</v>
      </c>
      <c r="AC53" s="124">
        <f t="shared" ref="AC53:AD53" si="11">SUM(AC48:AC52)</f>
        <v>206207.56383</v>
      </c>
      <c r="AD53" s="124">
        <f t="shared" si="11"/>
        <v>8591.9834299999929</v>
      </c>
      <c r="AE53" s="124"/>
      <c r="AF53" s="124"/>
      <c r="AG53" s="124"/>
      <c r="AH53" s="125"/>
      <c r="AI53" s="124"/>
      <c r="AJ53" s="77"/>
      <c r="AK53" s="8"/>
      <c r="AL53" s="8"/>
    </row>
    <row r="54" spans="1:38" s="23" customFormat="1" ht="29.25" hidden="1" customHeight="1">
      <c r="A54" s="161" t="s">
        <v>25</v>
      </c>
      <c r="B54" s="148"/>
      <c r="C54" s="148"/>
      <c r="D54" s="148"/>
      <c r="E54" s="148"/>
      <c r="F54" s="119"/>
      <c r="G54" s="124"/>
      <c r="H54" s="17"/>
      <c r="I54" s="17"/>
      <c r="J54" s="17"/>
      <c r="K54" s="17"/>
      <c r="L54" s="17"/>
      <c r="M54" s="17"/>
      <c r="N54" s="17"/>
      <c r="O54" s="17"/>
      <c r="P54" s="17"/>
      <c r="Q54" s="22"/>
      <c r="R54" s="17"/>
      <c r="S54" s="17"/>
      <c r="T54" s="17"/>
      <c r="U54" s="19"/>
      <c r="V54" s="19"/>
      <c r="W54" s="19"/>
      <c r="X54" s="19"/>
      <c r="Y54" s="19"/>
      <c r="Z54" s="19"/>
      <c r="AA54" s="17"/>
      <c r="AB54" s="19"/>
      <c r="AC54" s="19"/>
      <c r="AD54" s="19"/>
      <c r="AE54" s="19"/>
      <c r="AF54" s="19"/>
      <c r="AG54" s="19"/>
      <c r="AH54" s="59"/>
      <c r="AI54" s="19"/>
      <c r="AJ54" s="78"/>
      <c r="AK54" s="8"/>
      <c r="AL54" s="8"/>
    </row>
    <row r="55" spans="1:38" s="23" customFormat="1" ht="48" hidden="1" customHeight="1">
      <c r="A55" s="56"/>
      <c r="B55" s="26" t="s">
        <v>39</v>
      </c>
      <c r="C55" s="17" t="s">
        <v>16</v>
      </c>
      <c r="D55" s="17"/>
      <c r="E55" s="29"/>
      <c r="F55" s="29"/>
      <c r="G55" s="19"/>
      <c r="H55" s="21"/>
      <c r="I55" s="22"/>
      <c r="J55" s="22"/>
      <c r="K55" s="22"/>
      <c r="L55" s="27"/>
      <c r="M55" s="28"/>
      <c r="N55" s="22"/>
      <c r="O55" s="22"/>
      <c r="P55" s="27"/>
      <c r="Q55" s="28"/>
      <c r="R55" s="22"/>
      <c r="S55" s="22"/>
      <c r="T55" s="20"/>
      <c r="U55" s="19"/>
      <c r="V55" s="19"/>
      <c r="W55" s="19"/>
      <c r="X55" s="19"/>
      <c r="Y55" s="19"/>
      <c r="Z55" s="19"/>
      <c r="AA55" s="20"/>
      <c r="AB55" s="24"/>
      <c r="AC55" s="24"/>
      <c r="AD55" s="24"/>
      <c r="AE55" s="24"/>
      <c r="AF55" s="24"/>
      <c r="AG55" s="19"/>
      <c r="AH55" s="59"/>
      <c r="AI55" s="19"/>
      <c r="AJ55" s="78"/>
      <c r="AK55" s="8"/>
      <c r="AL55" s="8"/>
    </row>
    <row r="56" spans="1:38" s="23" customFormat="1" ht="55.5" hidden="1" customHeight="1" thickBot="1">
      <c r="A56" s="55"/>
      <c r="B56" s="26"/>
      <c r="C56" s="17"/>
      <c r="D56" s="17"/>
      <c r="E56" s="29"/>
      <c r="F56" s="21"/>
      <c r="G56" s="19"/>
      <c r="H56" s="21"/>
      <c r="I56" s="22"/>
      <c r="J56" s="22"/>
      <c r="K56" s="22"/>
      <c r="L56" s="27"/>
      <c r="M56" s="28"/>
      <c r="N56" s="22"/>
      <c r="O56" s="22"/>
      <c r="P56" s="27"/>
      <c r="Q56" s="28"/>
      <c r="R56" s="22"/>
      <c r="S56" s="22"/>
      <c r="T56" s="29"/>
      <c r="U56" s="19"/>
      <c r="V56" s="19"/>
      <c r="W56" s="19"/>
      <c r="X56" s="19"/>
      <c r="Y56" s="19"/>
      <c r="Z56" s="21"/>
      <c r="AA56" s="20"/>
      <c r="AB56" s="19"/>
      <c r="AC56" s="19"/>
      <c r="AD56" s="19"/>
      <c r="AE56" s="19"/>
      <c r="AF56" s="19"/>
      <c r="AG56" s="19"/>
      <c r="AH56" s="59"/>
      <c r="AI56" s="19"/>
      <c r="AJ56" s="78"/>
      <c r="AK56" s="8"/>
      <c r="AL56" s="8"/>
    </row>
    <row r="57" spans="1:38" s="23" customFormat="1" ht="32.25" hidden="1" customHeight="1" thickBot="1">
      <c r="A57" s="159" t="s">
        <v>103</v>
      </c>
      <c r="B57" s="160"/>
      <c r="C57" s="160"/>
      <c r="D57" s="122"/>
      <c r="E57" s="13">
        <f>SUM(E56:E56)</f>
        <v>0</v>
      </c>
      <c r="F57" s="13"/>
      <c r="G57" s="124">
        <f>SUM(G56:G56)</f>
        <v>0</v>
      </c>
      <c r="H57" s="13" t="e">
        <f>SUM(#REF!)</f>
        <v>#REF!</v>
      </c>
      <c r="I57" s="14" t="e">
        <f>SUM(#REF!)</f>
        <v>#REF!</v>
      </c>
      <c r="J57" s="14" t="e">
        <f>SUM(#REF!)</f>
        <v>#REF!</v>
      </c>
      <c r="K57" s="14"/>
      <c r="L57" s="13" t="e">
        <f>SUM(#REF!)</f>
        <v>#REF!</v>
      </c>
      <c r="M57" s="14" t="e">
        <f>SUM(#REF!)</f>
        <v>#REF!</v>
      </c>
      <c r="N57" s="14" t="e">
        <f>SUM(#REF!)</f>
        <v>#REF!</v>
      </c>
      <c r="O57" s="14" t="e">
        <f>SUM(#REF!)</f>
        <v>#REF!</v>
      </c>
      <c r="P57" s="13">
        <f>SUM(P55:P55)</f>
        <v>0</v>
      </c>
      <c r="Q57" s="14">
        <f>SUM(Q55:Q55)</f>
        <v>0</v>
      </c>
      <c r="R57" s="14">
        <f>SUM(R55:R55)</f>
        <v>0</v>
      </c>
      <c r="S57" s="14">
        <f>SUM(S55:S55)</f>
        <v>0</v>
      </c>
      <c r="T57" s="13">
        <f>SUM(T55:T55)</f>
        <v>0</v>
      </c>
      <c r="U57" s="13"/>
      <c r="V57" s="124">
        <f>SUM(V55:V55)</f>
        <v>0</v>
      </c>
      <c r="W57" s="124">
        <f>SUM(W55:W55)</f>
        <v>0</v>
      </c>
      <c r="X57" s="124">
        <f>SUM(X55:X55)</f>
        <v>0</v>
      </c>
      <c r="Y57" s="124"/>
      <c r="Z57" s="13"/>
      <c r="AA57" s="13"/>
      <c r="AB57" s="124"/>
      <c r="AC57" s="124"/>
      <c r="AD57" s="124"/>
      <c r="AE57" s="124"/>
      <c r="AF57" s="124"/>
      <c r="AG57" s="124"/>
      <c r="AH57" s="125"/>
      <c r="AI57" s="124"/>
      <c r="AJ57" s="77"/>
      <c r="AK57" s="8"/>
      <c r="AL57" s="8"/>
    </row>
    <row r="58" spans="1:38" s="23" customFormat="1" ht="27.2" customHeight="1">
      <c r="A58" s="161" t="s">
        <v>26</v>
      </c>
      <c r="B58" s="148"/>
      <c r="C58" s="148"/>
      <c r="D58" s="148"/>
      <c r="E58" s="148"/>
      <c r="F58" s="119"/>
      <c r="G58" s="124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9"/>
      <c r="V58" s="19"/>
      <c r="W58" s="19"/>
      <c r="X58" s="19"/>
      <c r="Y58" s="19"/>
      <c r="Z58" s="19"/>
      <c r="AA58" s="17"/>
      <c r="AB58" s="19"/>
      <c r="AC58" s="19"/>
      <c r="AD58" s="19"/>
      <c r="AE58" s="19"/>
      <c r="AF58" s="19"/>
      <c r="AG58" s="19"/>
      <c r="AH58" s="59"/>
      <c r="AI58" s="19"/>
      <c r="AJ58" s="78"/>
      <c r="AK58" s="8"/>
      <c r="AL58" s="8"/>
    </row>
    <row r="59" spans="1:38" s="23" customFormat="1" ht="34.5" customHeight="1">
      <c r="A59" s="55">
        <v>11</v>
      </c>
      <c r="B59" s="26" t="s">
        <v>129</v>
      </c>
      <c r="C59" s="119"/>
      <c r="D59" s="119"/>
      <c r="E59" s="29">
        <v>3.9</v>
      </c>
      <c r="F59" s="21"/>
      <c r="G59" s="19">
        <v>115968.27821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9"/>
      <c r="V59" s="19"/>
      <c r="W59" s="19"/>
      <c r="X59" s="19"/>
      <c r="Y59" s="19"/>
      <c r="Z59" s="20">
        <f>E59</f>
        <v>3.9</v>
      </c>
      <c r="AA59" s="17"/>
      <c r="AB59" s="19">
        <f>G59</f>
        <v>115968.27821</v>
      </c>
      <c r="AC59" s="19">
        <v>111329.54625</v>
      </c>
      <c r="AD59" s="19">
        <f t="shared" ref="AD59" si="12">AB59-AC59</f>
        <v>4638.7319600000046</v>
      </c>
      <c r="AE59" s="19"/>
      <c r="AF59" s="19"/>
      <c r="AG59" s="19"/>
      <c r="AH59" s="59"/>
      <c r="AI59" s="19"/>
      <c r="AJ59" s="78"/>
      <c r="AK59" s="8"/>
      <c r="AL59" s="8"/>
    </row>
    <row r="60" spans="1:38" s="23" customFormat="1" ht="27" customHeight="1">
      <c r="A60" s="55"/>
      <c r="B60" s="16" t="s">
        <v>53</v>
      </c>
      <c r="C60" s="17"/>
      <c r="D60" s="17"/>
      <c r="E60" s="46">
        <f>T60+Z60</f>
        <v>6.3460000000000001</v>
      </c>
      <c r="F60" s="46"/>
      <c r="G60" s="19">
        <f>V60+AB60</f>
        <v>274941</v>
      </c>
      <c r="H60" s="21"/>
      <c r="I60" s="22"/>
      <c r="J60" s="22"/>
      <c r="K60" s="22"/>
      <c r="L60" s="27"/>
      <c r="M60" s="28"/>
      <c r="N60" s="22"/>
      <c r="O60" s="22"/>
      <c r="P60" s="20"/>
      <c r="Q60" s="22"/>
      <c r="R60" s="22"/>
      <c r="S60" s="22"/>
      <c r="T60" s="20">
        <v>4.5209999999999999</v>
      </c>
      <c r="U60" s="19"/>
      <c r="V60" s="19">
        <v>186480</v>
      </c>
      <c r="W60" s="19"/>
      <c r="X60" s="19">
        <f>V60</f>
        <v>186480</v>
      </c>
      <c r="Y60" s="19"/>
      <c r="Z60" s="20">
        <v>1.825</v>
      </c>
      <c r="AA60" s="17"/>
      <c r="AB60" s="19">
        <v>88461</v>
      </c>
      <c r="AC60" s="19"/>
      <c r="AD60" s="19">
        <f>AB60</f>
        <v>88461</v>
      </c>
      <c r="AE60" s="19"/>
      <c r="AF60" s="19"/>
      <c r="AG60" s="19"/>
      <c r="AH60" s="59"/>
      <c r="AI60" s="19"/>
      <c r="AJ60" s="78"/>
      <c r="AK60" s="8"/>
      <c r="AL60" s="8"/>
    </row>
    <row r="61" spans="1:38" s="23" customFormat="1" ht="30.75" customHeight="1">
      <c r="A61" s="161" t="s">
        <v>104</v>
      </c>
      <c r="B61" s="148"/>
      <c r="C61" s="17"/>
      <c r="D61" s="17"/>
      <c r="E61" s="13">
        <f>SUM(E59:E60)</f>
        <v>10.246</v>
      </c>
      <c r="F61" s="13"/>
      <c r="G61" s="124">
        <f>SUM(G59:G60)</f>
        <v>390909.27821000002</v>
      </c>
      <c r="H61" s="13" t="e">
        <f>SUM(#REF!)</f>
        <v>#REF!</v>
      </c>
      <c r="I61" s="14" t="e">
        <f>SUM(#REF!)</f>
        <v>#REF!</v>
      </c>
      <c r="J61" s="14" t="e">
        <f>SUM(#REF!)</f>
        <v>#REF!</v>
      </c>
      <c r="K61" s="14"/>
      <c r="L61" s="13" t="e">
        <f>SUM(#REF!)</f>
        <v>#REF!</v>
      </c>
      <c r="M61" s="14" t="e">
        <f>SUM(#REF!)</f>
        <v>#REF!</v>
      </c>
      <c r="N61" s="14" t="e">
        <f>SUM(#REF!)</f>
        <v>#REF!</v>
      </c>
      <c r="O61" s="14" t="e">
        <f>SUM(#REF!)</f>
        <v>#REF!</v>
      </c>
      <c r="P61" s="13" t="e">
        <f>SUM(#REF!)</f>
        <v>#REF!</v>
      </c>
      <c r="Q61" s="14" t="e">
        <f>SUM(#REF!)</f>
        <v>#REF!</v>
      </c>
      <c r="R61" s="14" t="e">
        <f>SUM(#REF!)</f>
        <v>#REF!</v>
      </c>
      <c r="S61" s="14"/>
      <c r="T61" s="13">
        <f>SUM(T60:T60)</f>
        <v>4.5209999999999999</v>
      </c>
      <c r="U61" s="124"/>
      <c r="V61" s="124">
        <f>SUM(V60:V60)</f>
        <v>186480</v>
      </c>
      <c r="W61" s="124"/>
      <c r="X61" s="124">
        <f>SUM(X60:X60)</f>
        <v>186480</v>
      </c>
      <c r="Y61" s="124"/>
      <c r="Z61" s="13">
        <f>SUM(Z59:Z60)</f>
        <v>5.7249999999999996</v>
      </c>
      <c r="AA61" s="124"/>
      <c r="AB61" s="124">
        <f>SUM(AB59:AB60)</f>
        <v>204429.27821000002</v>
      </c>
      <c r="AC61" s="124">
        <f>SUM(AC59:AC60)</f>
        <v>111329.54625</v>
      </c>
      <c r="AD61" s="124">
        <f>SUM(AD59:AD60)</f>
        <v>93099.731960000005</v>
      </c>
      <c r="AE61" s="124"/>
      <c r="AF61" s="124"/>
      <c r="AG61" s="124"/>
      <c r="AH61" s="125"/>
      <c r="AI61" s="124"/>
      <c r="AJ61" s="77"/>
      <c r="AK61" s="8"/>
      <c r="AL61" s="8"/>
    </row>
    <row r="62" spans="1:38" s="23" customFormat="1" ht="33.75" customHeight="1">
      <c r="A62" s="161" t="s">
        <v>40</v>
      </c>
      <c r="B62" s="148"/>
      <c r="C62" s="148"/>
      <c r="D62" s="148"/>
      <c r="E62" s="148"/>
      <c r="F62" s="119"/>
      <c r="G62" s="124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9"/>
      <c r="V62" s="19"/>
      <c r="W62" s="19"/>
      <c r="X62" s="19"/>
      <c r="Y62" s="19"/>
      <c r="Z62" s="19"/>
      <c r="AA62" s="17"/>
      <c r="AB62" s="19"/>
      <c r="AC62" s="19"/>
      <c r="AD62" s="19"/>
      <c r="AE62" s="19"/>
      <c r="AF62" s="19"/>
      <c r="AG62" s="19"/>
      <c r="AH62" s="59"/>
      <c r="AI62" s="19"/>
      <c r="AJ62" s="78"/>
      <c r="AK62" s="8"/>
      <c r="AL62" s="8"/>
    </row>
    <row r="63" spans="1:38" s="23" customFormat="1" ht="43.5" customHeight="1">
      <c r="A63" s="55">
        <v>12</v>
      </c>
      <c r="B63" s="26" t="s">
        <v>57</v>
      </c>
      <c r="C63" s="17" t="s">
        <v>16</v>
      </c>
      <c r="D63" s="17"/>
      <c r="E63" s="29">
        <v>2.2999999999999998</v>
      </c>
      <c r="F63" s="29"/>
      <c r="G63" s="19">
        <v>58857.782299999999</v>
      </c>
      <c r="H63" s="21"/>
      <c r="I63" s="22"/>
      <c r="J63" s="22"/>
      <c r="K63" s="22"/>
      <c r="L63" s="27"/>
      <c r="M63" s="28"/>
      <c r="N63" s="22"/>
      <c r="O63" s="22"/>
      <c r="P63" s="20"/>
      <c r="Q63" s="22"/>
      <c r="R63" s="22"/>
      <c r="S63" s="22"/>
      <c r="T63" s="20">
        <f>E63</f>
        <v>2.2999999999999998</v>
      </c>
      <c r="U63" s="19"/>
      <c r="V63" s="19">
        <f>G63</f>
        <v>58857.782299999999</v>
      </c>
      <c r="W63" s="19"/>
      <c r="X63" s="19">
        <f>V63</f>
        <v>58857.782299999999</v>
      </c>
      <c r="Y63" s="19"/>
      <c r="Z63" s="29"/>
      <c r="AA63" s="20"/>
      <c r="AB63" s="19"/>
      <c r="AC63" s="19"/>
      <c r="AD63" s="19"/>
      <c r="AE63" s="19"/>
      <c r="AF63" s="19"/>
      <c r="AG63" s="19"/>
      <c r="AH63" s="59"/>
      <c r="AI63" s="19"/>
      <c r="AJ63" s="78"/>
      <c r="AK63" s="8"/>
      <c r="AL63" s="8"/>
    </row>
    <row r="64" spans="1:38" s="23" customFormat="1" ht="46.5" customHeight="1">
      <c r="A64" s="55">
        <v>13</v>
      </c>
      <c r="B64" s="26" t="s">
        <v>142</v>
      </c>
      <c r="C64" s="17" t="s">
        <v>16</v>
      </c>
      <c r="D64" s="17"/>
      <c r="E64" s="29">
        <v>3.07</v>
      </c>
      <c r="F64" s="29"/>
      <c r="G64" s="19">
        <v>77174.5</v>
      </c>
      <c r="H64" s="21"/>
      <c r="I64" s="22"/>
      <c r="J64" s="22"/>
      <c r="K64" s="22"/>
      <c r="L64" s="27"/>
      <c r="M64" s="28"/>
      <c r="N64" s="22"/>
      <c r="O64" s="22"/>
      <c r="P64" s="20"/>
      <c r="Q64" s="22"/>
      <c r="R64" s="22"/>
      <c r="S64" s="22"/>
      <c r="T64" s="20"/>
      <c r="U64" s="19"/>
      <c r="V64" s="19"/>
      <c r="W64" s="19"/>
      <c r="X64" s="19"/>
      <c r="Y64" s="19"/>
      <c r="Z64" s="20">
        <f>E64</f>
        <v>3.07</v>
      </c>
      <c r="AA64" s="20"/>
      <c r="AB64" s="19">
        <f>G64</f>
        <v>77174.5</v>
      </c>
      <c r="AC64" s="57">
        <v>74087.519450000007</v>
      </c>
      <c r="AD64" s="19">
        <f t="shared" ref="AD64" si="13">AB64-AC64</f>
        <v>3086.9805499999929</v>
      </c>
      <c r="AE64" s="19"/>
      <c r="AF64" s="19"/>
      <c r="AG64" s="19"/>
      <c r="AH64" s="59"/>
      <c r="AI64" s="19"/>
      <c r="AJ64" s="78"/>
      <c r="AK64" s="8"/>
      <c r="AL64" s="8"/>
    </row>
    <row r="65" spans="1:38" s="23" customFormat="1" ht="27.75" customHeight="1">
      <c r="A65" s="159" t="s">
        <v>106</v>
      </c>
      <c r="B65" s="160"/>
      <c r="C65" s="17"/>
      <c r="D65" s="17"/>
      <c r="E65" s="13">
        <f>SUM(E63:E64)</f>
        <v>5.3699999999999992</v>
      </c>
      <c r="F65" s="13"/>
      <c r="G65" s="124">
        <f>SUM(G63:G64)</f>
        <v>136032.28229999999</v>
      </c>
      <c r="H65" s="13" t="e">
        <f>SUM(#REF!)</f>
        <v>#REF!</v>
      </c>
      <c r="I65" s="14" t="e">
        <f>SUM(#REF!)</f>
        <v>#REF!</v>
      </c>
      <c r="J65" s="14" t="e">
        <f>SUM(#REF!)</f>
        <v>#REF!</v>
      </c>
      <c r="K65" s="14"/>
      <c r="L65" s="13" t="e">
        <f>SUM(#REF!)</f>
        <v>#REF!</v>
      </c>
      <c r="M65" s="14" t="e">
        <f>SUM(#REF!)</f>
        <v>#REF!</v>
      </c>
      <c r="N65" s="14" t="e">
        <f>SUM(#REF!)</f>
        <v>#REF!</v>
      </c>
      <c r="O65" s="14" t="e">
        <f>SUM(#REF!)</f>
        <v>#REF!</v>
      </c>
      <c r="P65" s="13" t="e">
        <f>SUM(#REF!)</f>
        <v>#REF!</v>
      </c>
      <c r="Q65" s="14" t="e">
        <f>SUM(#REF!)</f>
        <v>#REF!</v>
      </c>
      <c r="R65" s="14" t="e">
        <f>SUM(#REF!)</f>
        <v>#REF!</v>
      </c>
      <c r="S65" s="14"/>
      <c r="T65" s="13">
        <f>SUM(T63:T64)</f>
        <v>2.2999999999999998</v>
      </c>
      <c r="U65" s="13"/>
      <c r="V65" s="124">
        <f>SUM(V63:V64)</f>
        <v>58857.782299999999</v>
      </c>
      <c r="W65" s="124"/>
      <c r="X65" s="124">
        <f>SUM(X63:X64)</f>
        <v>58857.782299999999</v>
      </c>
      <c r="Y65" s="124"/>
      <c r="Z65" s="13">
        <f>SUM(Z63:Z64)</f>
        <v>3.07</v>
      </c>
      <c r="AA65" s="13"/>
      <c r="AB65" s="124">
        <f>SUM(AB63:AB64)</f>
        <v>77174.5</v>
      </c>
      <c r="AC65" s="124">
        <f>SUM(AC63:AC64)</f>
        <v>74087.519450000007</v>
      </c>
      <c r="AD65" s="124">
        <f>SUM(AD63:AD64)</f>
        <v>3086.9805499999929</v>
      </c>
      <c r="AE65" s="124"/>
      <c r="AF65" s="124"/>
      <c r="AG65" s="124"/>
      <c r="AH65" s="125"/>
      <c r="AI65" s="124"/>
      <c r="AJ65" s="77"/>
      <c r="AK65" s="8"/>
      <c r="AL65" s="8"/>
    </row>
    <row r="66" spans="1:38" s="23" customFormat="1" ht="29.25" customHeight="1">
      <c r="A66" s="161" t="s">
        <v>28</v>
      </c>
      <c r="B66" s="148"/>
      <c r="C66" s="148"/>
      <c r="D66" s="148"/>
      <c r="E66" s="148"/>
      <c r="F66" s="119"/>
      <c r="G66" s="124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9"/>
      <c r="V66" s="19"/>
      <c r="W66" s="19"/>
      <c r="X66" s="19"/>
      <c r="Y66" s="19"/>
      <c r="Z66" s="19"/>
      <c r="AA66" s="17"/>
      <c r="AB66" s="19"/>
      <c r="AC66" s="19"/>
      <c r="AD66" s="19"/>
      <c r="AE66" s="19"/>
      <c r="AF66" s="19"/>
      <c r="AG66" s="19"/>
      <c r="AH66" s="59"/>
      <c r="AI66" s="19"/>
      <c r="AJ66" s="78"/>
      <c r="AK66" s="8"/>
      <c r="AL66" s="8"/>
    </row>
    <row r="67" spans="1:38" s="23" customFormat="1" ht="44.25" customHeight="1">
      <c r="A67" s="55">
        <v>14</v>
      </c>
      <c r="B67" s="26" t="s">
        <v>130</v>
      </c>
      <c r="C67" s="17"/>
      <c r="D67" s="17"/>
      <c r="E67" s="29">
        <v>4.0999999999999996</v>
      </c>
      <c r="F67" s="29"/>
      <c r="G67" s="19">
        <v>128306.87396</v>
      </c>
      <c r="H67" s="21"/>
      <c r="I67" s="22"/>
      <c r="J67" s="22"/>
      <c r="K67" s="22"/>
      <c r="L67" s="27"/>
      <c r="M67" s="28"/>
      <c r="N67" s="22"/>
      <c r="O67" s="22"/>
      <c r="P67" s="27"/>
      <c r="Q67" s="28"/>
      <c r="R67" s="22"/>
      <c r="S67" s="22"/>
      <c r="T67" s="20"/>
      <c r="U67" s="19"/>
      <c r="V67" s="19"/>
      <c r="W67" s="19"/>
      <c r="X67" s="19"/>
      <c r="Y67" s="19"/>
      <c r="Z67" s="20">
        <v>4.0999999999999996</v>
      </c>
      <c r="AA67" s="20"/>
      <c r="AB67" s="57">
        <f>G67</f>
        <v>128306.87396</v>
      </c>
      <c r="AC67" s="57">
        <v>123174.59808</v>
      </c>
      <c r="AD67" s="19">
        <f t="shared" ref="AD67" si="14">AB67-AC67</f>
        <v>5132.2758800000011</v>
      </c>
      <c r="AE67" s="19"/>
      <c r="AF67" s="19"/>
      <c r="AG67" s="19"/>
      <c r="AH67" s="59"/>
      <c r="AI67" s="19"/>
      <c r="AJ67" s="78"/>
      <c r="AK67" s="8"/>
      <c r="AL67" s="8"/>
    </row>
    <row r="68" spans="1:38" s="23" customFormat="1" ht="29.25" customHeight="1">
      <c r="A68" s="55"/>
      <c r="B68" s="16" t="s">
        <v>55</v>
      </c>
      <c r="C68" s="17"/>
      <c r="D68" s="17"/>
      <c r="E68" s="29">
        <f>SUM(E67:E67)</f>
        <v>4.0999999999999996</v>
      </c>
      <c r="F68" s="29"/>
      <c r="G68" s="57">
        <f>SUM(G67:G67)</f>
        <v>128306.87396</v>
      </c>
      <c r="H68" s="21"/>
      <c r="I68" s="22"/>
      <c r="J68" s="22"/>
      <c r="K68" s="22"/>
      <c r="L68" s="27"/>
      <c r="M68" s="28"/>
      <c r="N68" s="22"/>
      <c r="O68" s="22"/>
      <c r="P68" s="27"/>
      <c r="Q68" s="28"/>
      <c r="R68" s="22"/>
      <c r="S68" s="22"/>
      <c r="T68" s="20"/>
      <c r="U68" s="19"/>
      <c r="V68" s="19"/>
      <c r="W68" s="19"/>
      <c r="X68" s="19"/>
      <c r="Y68" s="19"/>
      <c r="Z68" s="29">
        <f>SUM(Z67:Z67)</f>
        <v>4.0999999999999996</v>
      </c>
      <c r="AA68" s="29"/>
      <c r="AB68" s="57">
        <f>SUM(AB67:AB67)</f>
        <v>128306.87396</v>
      </c>
      <c r="AC68" s="57">
        <f>SUM(AC67:AC67)</f>
        <v>123174.59808</v>
      </c>
      <c r="AD68" s="57">
        <f>SUM(AD67:AD67)</f>
        <v>5132.2758800000011</v>
      </c>
      <c r="AE68" s="19"/>
      <c r="AF68" s="19"/>
      <c r="AG68" s="19"/>
      <c r="AH68" s="59"/>
      <c r="AI68" s="19"/>
      <c r="AJ68" s="78"/>
      <c r="AK68" s="8"/>
      <c r="AL68" s="8"/>
    </row>
    <row r="69" spans="1:38" s="23" customFormat="1" ht="24" customHeight="1">
      <c r="A69" s="56"/>
      <c r="B69" s="16" t="s">
        <v>53</v>
      </c>
      <c r="C69" s="17"/>
      <c r="D69" s="17"/>
      <c r="E69" s="29">
        <f>T69+Z69</f>
        <v>14.346</v>
      </c>
      <c r="F69" s="29"/>
      <c r="G69" s="19">
        <f>V69+AB69</f>
        <v>289687.90000000002</v>
      </c>
      <c r="H69" s="21"/>
      <c r="I69" s="22"/>
      <c r="J69" s="22"/>
      <c r="K69" s="22"/>
      <c r="L69" s="27"/>
      <c r="M69" s="28"/>
      <c r="N69" s="22"/>
      <c r="O69" s="22"/>
      <c r="P69" s="27"/>
      <c r="Q69" s="28"/>
      <c r="R69" s="22"/>
      <c r="S69" s="22"/>
      <c r="T69" s="20">
        <v>9.5839999999999996</v>
      </c>
      <c r="U69" s="19"/>
      <c r="V69" s="19">
        <v>196556</v>
      </c>
      <c r="W69" s="19"/>
      <c r="X69" s="19">
        <f>V69</f>
        <v>196556</v>
      </c>
      <c r="Y69" s="19"/>
      <c r="Z69" s="29">
        <v>4.7619999999999996</v>
      </c>
      <c r="AA69" s="29"/>
      <c r="AB69" s="57">
        <v>93131.9</v>
      </c>
      <c r="AC69" s="57"/>
      <c r="AD69" s="57">
        <f>AB69</f>
        <v>93131.9</v>
      </c>
      <c r="AE69" s="19"/>
      <c r="AF69" s="19"/>
      <c r="AG69" s="19"/>
      <c r="AH69" s="59"/>
      <c r="AI69" s="19"/>
      <c r="AJ69" s="78"/>
      <c r="AK69" s="8"/>
      <c r="AL69" s="8"/>
    </row>
    <row r="70" spans="1:38" s="23" customFormat="1" ht="33.75" customHeight="1">
      <c r="A70" s="159" t="s">
        <v>105</v>
      </c>
      <c r="B70" s="160"/>
      <c r="C70" s="17"/>
      <c r="D70" s="17"/>
      <c r="E70" s="124">
        <f>SUM(E68:E69)</f>
        <v>18.445999999999998</v>
      </c>
      <c r="F70" s="124"/>
      <c r="G70" s="124">
        <f>SUM(G68:G69)</f>
        <v>417994.77396000002</v>
      </c>
      <c r="H70" s="13"/>
      <c r="I70" s="14"/>
      <c r="J70" s="14"/>
      <c r="K70" s="14"/>
      <c r="L70" s="13"/>
      <c r="M70" s="14"/>
      <c r="N70" s="14"/>
      <c r="O70" s="14"/>
      <c r="P70" s="124"/>
      <c r="Q70" s="14"/>
      <c r="R70" s="14"/>
      <c r="S70" s="14"/>
      <c r="T70" s="124">
        <f>SUM(T68:T69)</f>
        <v>9.5839999999999996</v>
      </c>
      <c r="U70" s="124"/>
      <c r="V70" s="124">
        <f>SUM(V68:V69)</f>
        <v>196556</v>
      </c>
      <c r="W70" s="124"/>
      <c r="X70" s="124">
        <f>SUM(X68:X69)</f>
        <v>196556</v>
      </c>
      <c r="Y70" s="124"/>
      <c r="Z70" s="124">
        <f>SUM(Z68:Z69)</f>
        <v>8.8619999999999983</v>
      </c>
      <c r="AA70" s="124"/>
      <c r="AB70" s="124">
        <f>SUM(AB68:AB69)</f>
        <v>221438.77395999999</v>
      </c>
      <c r="AC70" s="124">
        <f t="shared" ref="AC70:AD70" si="15">SUM(AC68:AC69)</f>
        <v>123174.59808</v>
      </c>
      <c r="AD70" s="124">
        <f t="shared" si="15"/>
        <v>98264.175879999995</v>
      </c>
      <c r="AE70" s="124"/>
      <c r="AF70" s="124"/>
      <c r="AG70" s="124"/>
      <c r="AH70" s="125"/>
      <c r="AI70" s="124"/>
      <c r="AJ70" s="77"/>
      <c r="AK70" s="8"/>
      <c r="AL70" s="8"/>
    </row>
    <row r="71" spans="1:38" s="23" customFormat="1" ht="32.25" customHeight="1">
      <c r="A71" s="161" t="s">
        <v>41</v>
      </c>
      <c r="B71" s="148"/>
      <c r="C71" s="148"/>
      <c r="D71" s="148"/>
      <c r="E71" s="148"/>
      <c r="F71" s="119"/>
      <c r="G71" s="124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9"/>
      <c r="V71" s="19"/>
      <c r="W71" s="19"/>
      <c r="X71" s="19"/>
      <c r="Y71" s="19"/>
      <c r="Z71" s="19"/>
      <c r="AA71" s="17"/>
      <c r="AB71" s="19"/>
      <c r="AC71" s="19"/>
      <c r="AD71" s="19"/>
      <c r="AE71" s="19"/>
      <c r="AF71" s="19"/>
      <c r="AG71" s="19"/>
      <c r="AH71" s="59"/>
      <c r="AI71" s="19"/>
      <c r="AJ71" s="78"/>
      <c r="AK71" s="8"/>
      <c r="AL71" s="8"/>
    </row>
    <row r="72" spans="1:38" s="23" customFormat="1" ht="52.5" customHeight="1">
      <c r="A72" s="55">
        <v>15</v>
      </c>
      <c r="B72" s="30" t="s">
        <v>58</v>
      </c>
      <c r="C72" s="17" t="s">
        <v>16</v>
      </c>
      <c r="D72" s="119"/>
      <c r="E72" s="29">
        <v>3.9</v>
      </c>
      <c r="F72" s="119"/>
      <c r="G72" s="19">
        <v>76711.600330000001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29">
        <f>E72</f>
        <v>3.9</v>
      </c>
      <c r="U72" s="19"/>
      <c r="V72" s="19">
        <f>G72</f>
        <v>76711.600330000001</v>
      </c>
      <c r="W72" s="19"/>
      <c r="X72" s="19">
        <f>V72</f>
        <v>76711.600330000001</v>
      </c>
      <c r="Y72" s="19"/>
      <c r="Z72" s="19"/>
      <c r="AA72" s="17"/>
      <c r="AB72" s="19"/>
      <c r="AC72" s="19"/>
      <c r="AD72" s="19"/>
      <c r="AE72" s="19"/>
      <c r="AF72" s="19"/>
      <c r="AG72" s="19"/>
      <c r="AH72" s="59"/>
      <c r="AI72" s="19"/>
      <c r="AJ72" s="78"/>
      <c r="AK72" s="8"/>
      <c r="AL72" s="8"/>
    </row>
    <row r="73" spans="1:38" s="23" customFormat="1" ht="27" customHeight="1">
      <c r="A73" s="55">
        <v>16</v>
      </c>
      <c r="B73" s="30" t="s">
        <v>131</v>
      </c>
      <c r="C73" s="17"/>
      <c r="D73" s="119"/>
      <c r="E73" s="29">
        <v>4.2</v>
      </c>
      <c r="F73" s="119"/>
      <c r="G73" s="19">
        <v>134403.55869999999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29"/>
      <c r="U73" s="19"/>
      <c r="V73" s="19"/>
      <c r="W73" s="19"/>
      <c r="X73" s="19"/>
      <c r="Y73" s="19"/>
      <c r="Z73" s="20">
        <v>4.2</v>
      </c>
      <c r="AA73" s="17"/>
      <c r="AB73" s="19">
        <f>G73</f>
        <v>134403.55869999999</v>
      </c>
      <c r="AC73" s="19">
        <v>129027.41538999999</v>
      </c>
      <c r="AD73" s="19">
        <f t="shared" ref="AD73" si="16">AB73-AC73</f>
        <v>5376.1433099999995</v>
      </c>
      <c r="AE73" s="19"/>
      <c r="AF73" s="19"/>
      <c r="AG73" s="19"/>
      <c r="AH73" s="59"/>
      <c r="AI73" s="19"/>
      <c r="AJ73" s="78"/>
      <c r="AK73" s="8"/>
      <c r="AL73" s="8"/>
    </row>
    <row r="74" spans="1:38" s="23" customFormat="1" ht="29.25" customHeight="1">
      <c r="A74" s="159" t="s">
        <v>107</v>
      </c>
      <c r="B74" s="160"/>
      <c r="C74" s="17"/>
      <c r="D74" s="17"/>
      <c r="E74" s="13">
        <f>SUM(E72:E73)</f>
        <v>8.1</v>
      </c>
      <c r="F74" s="13"/>
      <c r="G74" s="124">
        <f>SUM(G72:G73)</f>
        <v>211115.15902999998</v>
      </c>
      <c r="H74" s="13"/>
      <c r="I74" s="14"/>
      <c r="J74" s="14"/>
      <c r="K74" s="14"/>
      <c r="L74" s="13"/>
      <c r="M74" s="14"/>
      <c r="N74" s="14"/>
      <c r="O74" s="14"/>
      <c r="P74" s="13"/>
      <c r="Q74" s="14"/>
      <c r="R74" s="14"/>
      <c r="S74" s="14"/>
      <c r="T74" s="13">
        <f>SUM(T72)</f>
        <v>3.9</v>
      </c>
      <c r="U74" s="13"/>
      <c r="V74" s="124">
        <f>SUM(V72)</f>
        <v>76711.600330000001</v>
      </c>
      <c r="W74" s="124"/>
      <c r="X74" s="124">
        <f>SUM(X72)</f>
        <v>76711.600330000001</v>
      </c>
      <c r="Y74" s="124"/>
      <c r="Z74" s="13">
        <f>SUM(Z72:Z73)</f>
        <v>4.2</v>
      </c>
      <c r="AA74" s="13"/>
      <c r="AB74" s="124">
        <f>SUM(AB72:AB73)</f>
        <v>134403.55869999999</v>
      </c>
      <c r="AC74" s="124">
        <f t="shared" ref="AC74:AD74" si="17">SUM(AC72:AC73)</f>
        <v>129027.41538999999</v>
      </c>
      <c r="AD74" s="124">
        <f t="shared" si="17"/>
        <v>5376.1433099999995</v>
      </c>
      <c r="AE74" s="124"/>
      <c r="AF74" s="124"/>
      <c r="AG74" s="124"/>
      <c r="AH74" s="125"/>
      <c r="AI74" s="124"/>
      <c r="AJ74" s="77"/>
      <c r="AK74" s="8"/>
      <c r="AL74" s="8"/>
    </row>
    <row r="75" spans="1:38" s="23" customFormat="1" ht="26.25" customHeight="1">
      <c r="A75" s="161" t="s">
        <v>29</v>
      </c>
      <c r="B75" s="148"/>
      <c r="C75" s="148"/>
      <c r="D75" s="148"/>
      <c r="E75" s="148"/>
      <c r="F75" s="119"/>
      <c r="G75" s="124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9"/>
      <c r="V75" s="19"/>
      <c r="W75" s="19"/>
      <c r="X75" s="19"/>
      <c r="Y75" s="19"/>
      <c r="Z75" s="19"/>
      <c r="AA75" s="17"/>
      <c r="AB75" s="19"/>
      <c r="AC75" s="19"/>
      <c r="AD75" s="19"/>
      <c r="AE75" s="19"/>
      <c r="AF75" s="19"/>
      <c r="AG75" s="19"/>
      <c r="AH75" s="59"/>
      <c r="AI75" s="19"/>
      <c r="AJ75" s="78"/>
      <c r="AK75" s="8"/>
      <c r="AL75" s="8"/>
    </row>
    <row r="76" spans="1:38" s="23" customFormat="1" ht="44.25" customHeight="1">
      <c r="A76" s="55">
        <v>17</v>
      </c>
      <c r="B76" s="30" t="s">
        <v>132</v>
      </c>
      <c r="C76" s="17"/>
      <c r="D76" s="17"/>
      <c r="E76" s="29">
        <v>4.4000000000000004</v>
      </c>
      <c r="F76" s="21"/>
      <c r="G76" s="19">
        <v>124994.59302</v>
      </c>
      <c r="H76" s="21"/>
      <c r="I76" s="22"/>
      <c r="J76" s="22"/>
      <c r="K76" s="22"/>
      <c r="L76" s="27"/>
      <c r="M76" s="28"/>
      <c r="N76" s="22"/>
      <c r="O76" s="22"/>
      <c r="P76" s="20"/>
      <c r="Q76" s="19"/>
      <c r="R76" s="22"/>
      <c r="S76" s="22"/>
      <c r="T76" s="20"/>
      <c r="U76" s="19"/>
      <c r="V76" s="19"/>
      <c r="W76" s="19"/>
      <c r="X76" s="19"/>
      <c r="Y76" s="19"/>
      <c r="Z76" s="21">
        <v>4.4000000000000004</v>
      </c>
      <c r="AA76" s="19"/>
      <c r="AB76" s="19">
        <f>G76</f>
        <v>124994.59302</v>
      </c>
      <c r="AC76" s="19">
        <v>119994.80839999999</v>
      </c>
      <c r="AD76" s="19">
        <f t="shared" ref="AD76" si="18">AB76-AC76</f>
        <v>4999.7846200000058</v>
      </c>
      <c r="AE76" s="19"/>
      <c r="AF76" s="19"/>
      <c r="AG76" s="19"/>
      <c r="AH76" s="59"/>
      <c r="AI76" s="19"/>
      <c r="AJ76" s="78"/>
      <c r="AK76" s="8"/>
      <c r="AL76" s="8"/>
    </row>
    <row r="77" spans="1:38" s="23" customFormat="1" ht="27" customHeight="1">
      <c r="A77" s="159" t="s">
        <v>108</v>
      </c>
      <c r="B77" s="160"/>
      <c r="C77" s="17"/>
      <c r="D77" s="17"/>
      <c r="E77" s="13">
        <f>SUM(E76:E76)</f>
        <v>4.4000000000000004</v>
      </c>
      <c r="F77" s="13"/>
      <c r="G77" s="124">
        <f>SUM(G76:G76)</f>
        <v>124994.59302</v>
      </c>
      <c r="H77" s="13" t="e">
        <f>SUM(#REF!)</f>
        <v>#REF!</v>
      </c>
      <c r="I77" s="14" t="e">
        <f>SUM(#REF!)</f>
        <v>#REF!</v>
      </c>
      <c r="J77" s="14" t="e">
        <f>SUM(#REF!)</f>
        <v>#REF!</v>
      </c>
      <c r="K77" s="14"/>
      <c r="L77" s="13" t="e">
        <f>SUM(#REF!)</f>
        <v>#REF!</v>
      </c>
      <c r="M77" s="14" t="e">
        <f>SUM(#REF!)</f>
        <v>#REF!</v>
      </c>
      <c r="N77" s="14" t="e">
        <f>SUM(#REF!)</f>
        <v>#REF!</v>
      </c>
      <c r="O77" s="14" t="e">
        <f>SUM(#REF!)</f>
        <v>#REF!</v>
      </c>
      <c r="P77" s="13" t="e">
        <f>SUM(#REF!)</f>
        <v>#REF!</v>
      </c>
      <c r="Q77" s="14" t="e">
        <f>SUM(#REF!)</f>
        <v>#REF!</v>
      </c>
      <c r="R77" s="14" t="e">
        <f>SUM(#REF!)</f>
        <v>#REF!</v>
      </c>
      <c r="S77" s="14"/>
      <c r="T77" s="13"/>
      <c r="U77" s="124"/>
      <c r="V77" s="124"/>
      <c r="W77" s="124"/>
      <c r="X77" s="124"/>
      <c r="Y77" s="124"/>
      <c r="Z77" s="13">
        <f>SUM(Z76:Z76)</f>
        <v>4.4000000000000004</v>
      </c>
      <c r="AA77" s="13"/>
      <c r="AB77" s="124">
        <f>SUM(AB76:AB76)</f>
        <v>124994.59302</v>
      </c>
      <c r="AC77" s="124">
        <f>SUM(AC76:AC76)</f>
        <v>119994.80839999999</v>
      </c>
      <c r="AD77" s="124">
        <f>SUM(AD76:AD76)</f>
        <v>4999.7846200000058</v>
      </c>
      <c r="AE77" s="124"/>
      <c r="AF77" s="124"/>
      <c r="AG77" s="124"/>
      <c r="AH77" s="125"/>
      <c r="AI77" s="124"/>
      <c r="AJ77" s="77"/>
      <c r="AK77" s="8"/>
      <c r="AL77" s="8"/>
    </row>
    <row r="78" spans="1:38" s="23" customFormat="1" ht="30" customHeight="1">
      <c r="A78" s="121"/>
      <c r="B78" s="122" t="s">
        <v>69</v>
      </c>
      <c r="C78" s="17"/>
      <c r="D78" s="17"/>
      <c r="E78" s="124"/>
      <c r="F78" s="124"/>
      <c r="G78" s="124"/>
      <c r="H78" s="13"/>
      <c r="I78" s="14"/>
      <c r="J78" s="14"/>
      <c r="K78" s="14"/>
      <c r="L78" s="13"/>
      <c r="M78" s="14"/>
      <c r="N78" s="14"/>
      <c r="O78" s="14"/>
      <c r="P78" s="124"/>
      <c r="Q78" s="14"/>
      <c r="R78" s="14"/>
      <c r="S78" s="1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5"/>
      <c r="AI78" s="124"/>
      <c r="AJ78" s="77"/>
      <c r="AK78" s="8"/>
      <c r="AL78" s="8"/>
    </row>
    <row r="79" spans="1:38" s="23" customFormat="1" ht="45" customHeight="1">
      <c r="A79" s="55">
        <v>18</v>
      </c>
      <c r="B79" s="30" t="s">
        <v>113</v>
      </c>
      <c r="C79" s="17" t="s">
        <v>16</v>
      </c>
      <c r="D79" s="17"/>
      <c r="E79" s="29">
        <v>3.1</v>
      </c>
      <c r="F79" s="124"/>
      <c r="G79" s="19">
        <v>85300.800000000003</v>
      </c>
      <c r="H79" s="13"/>
      <c r="I79" s="14"/>
      <c r="J79" s="14"/>
      <c r="K79" s="14"/>
      <c r="L79" s="13"/>
      <c r="M79" s="14"/>
      <c r="N79" s="14"/>
      <c r="O79" s="14"/>
      <c r="P79" s="124"/>
      <c r="Q79" s="14"/>
      <c r="R79" s="14"/>
      <c r="S79" s="14"/>
      <c r="T79" s="124"/>
      <c r="U79" s="124"/>
      <c r="V79" s="124"/>
      <c r="W79" s="124"/>
      <c r="X79" s="124"/>
      <c r="Y79" s="124"/>
      <c r="Z79" s="20">
        <v>3.1</v>
      </c>
      <c r="AA79" s="124"/>
      <c r="AB79" s="19">
        <f>G79</f>
        <v>85300.800000000003</v>
      </c>
      <c r="AC79" s="19">
        <v>81888.767389999994</v>
      </c>
      <c r="AD79" s="19">
        <f t="shared" ref="AD79" si="19">AB79-AC79</f>
        <v>3412.0326100000093</v>
      </c>
      <c r="AE79" s="124"/>
      <c r="AF79" s="124"/>
      <c r="AG79" s="124"/>
      <c r="AH79" s="125"/>
      <c r="AI79" s="124"/>
      <c r="AJ79" s="77"/>
      <c r="AK79" s="8"/>
      <c r="AL79" s="8"/>
    </row>
    <row r="80" spans="1:38" s="23" customFormat="1" ht="32.25" customHeight="1">
      <c r="A80" s="159" t="s">
        <v>109</v>
      </c>
      <c r="B80" s="160"/>
      <c r="C80" s="17"/>
      <c r="D80" s="17"/>
      <c r="E80" s="52">
        <f>E79</f>
        <v>3.1</v>
      </c>
      <c r="F80" s="124"/>
      <c r="G80" s="124">
        <f>G79</f>
        <v>85300.800000000003</v>
      </c>
      <c r="H80" s="13"/>
      <c r="I80" s="14"/>
      <c r="J80" s="14"/>
      <c r="K80" s="14"/>
      <c r="L80" s="13"/>
      <c r="M80" s="14"/>
      <c r="N80" s="14"/>
      <c r="O80" s="14"/>
      <c r="P80" s="124"/>
      <c r="Q80" s="14"/>
      <c r="R80" s="14"/>
      <c r="S80" s="14"/>
      <c r="T80" s="124"/>
      <c r="U80" s="124"/>
      <c r="V80" s="124"/>
      <c r="W80" s="124"/>
      <c r="X80" s="124"/>
      <c r="Y80" s="124"/>
      <c r="Z80" s="52">
        <f>Z79</f>
        <v>3.1</v>
      </c>
      <c r="AA80" s="124"/>
      <c r="AB80" s="124">
        <f>AB79</f>
        <v>85300.800000000003</v>
      </c>
      <c r="AC80" s="124">
        <f>AC79</f>
        <v>81888.767389999994</v>
      </c>
      <c r="AD80" s="124">
        <f>AD79</f>
        <v>3412.0326100000093</v>
      </c>
      <c r="AE80" s="124"/>
      <c r="AF80" s="124"/>
      <c r="AG80" s="124"/>
      <c r="AH80" s="125"/>
      <c r="AI80" s="124"/>
      <c r="AJ80" s="77"/>
      <c r="AK80" s="8"/>
      <c r="AL80" s="8"/>
    </row>
    <row r="81" spans="1:38" s="23" customFormat="1" ht="37.5" customHeight="1">
      <c r="A81" s="164" t="s">
        <v>157</v>
      </c>
      <c r="B81" s="165"/>
      <c r="C81" s="17"/>
      <c r="D81" s="17"/>
      <c r="E81" s="52"/>
      <c r="F81" s="124"/>
      <c r="G81" s="124"/>
      <c r="H81" s="13"/>
      <c r="I81" s="14"/>
      <c r="J81" s="14"/>
      <c r="K81" s="14"/>
      <c r="L81" s="13"/>
      <c r="M81" s="14"/>
      <c r="N81" s="14"/>
      <c r="O81" s="14"/>
      <c r="P81" s="124"/>
      <c r="Q81" s="14"/>
      <c r="R81" s="14"/>
      <c r="S81" s="14"/>
      <c r="T81" s="124"/>
      <c r="U81" s="124"/>
      <c r="V81" s="124"/>
      <c r="W81" s="124"/>
      <c r="X81" s="124"/>
      <c r="Y81" s="124"/>
      <c r="Z81" s="52"/>
      <c r="AA81" s="124"/>
      <c r="AB81" s="124"/>
      <c r="AC81" s="124"/>
      <c r="AD81" s="124"/>
      <c r="AE81" s="124"/>
      <c r="AF81" s="124"/>
      <c r="AG81" s="124"/>
      <c r="AH81" s="125"/>
      <c r="AI81" s="124"/>
      <c r="AJ81" s="77"/>
      <c r="AK81" s="8"/>
      <c r="AL81" s="8"/>
    </row>
    <row r="82" spans="1:38" s="23" customFormat="1" ht="71.25" customHeight="1">
      <c r="A82" s="55">
        <v>19</v>
      </c>
      <c r="B82" s="30" t="s">
        <v>86</v>
      </c>
      <c r="C82" s="17" t="s">
        <v>16</v>
      </c>
      <c r="D82" s="17"/>
      <c r="E82" s="29">
        <v>13.75</v>
      </c>
      <c r="F82" s="124"/>
      <c r="G82" s="19">
        <f>V82+AB82</f>
        <v>323992.47898999997</v>
      </c>
      <c r="H82" s="13"/>
      <c r="I82" s="14"/>
      <c r="J82" s="14"/>
      <c r="K82" s="14"/>
      <c r="L82" s="13"/>
      <c r="M82" s="14"/>
      <c r="N82" s="14"/>
      <c r="O82" s="14"/>
      <c r="P82" s="124"/>
      <c r="Q82" s="14"/>
      <c r="R82" s="14"/>
      <c r="S82" s="14"/>
      <c r="T82" s="124"/>
      <c r="U82" s="124"/>
      <c r="V82" s="19">
        <v>150000</v>
      </c>
      <c r="W82" s="124"/>
      <c r="X82" s="19">
        <f>V82</f>
        <v>150000</v>
      </c>
      <c r="Y82" s="124"/>
      <c r="Z82" s="29">
        <f>E82</f>
        <v>13.75</v>
      </c>
      <c r="AA82" s="124"/>
      <c r="AB82" s="19">
        <v>173992.47899</v>
      </c>
      <c r="AC82" s="19">
        <v>167032.77858000001</v>
      </c>
      <c r="AD82" s="19">
        <f t="shared" ref="AD82:AD83" si="20">AB82-AC82</f>
        <v>6959.7004099999904</v>
      </c>
      <c r="AE82" s="124"/>
      <c r="AF82" s="124"/>
      <c r="AG82" s="124"/>
      <c r="AH82" s="125"/>
      <c r="AI82" s="124"/>
      <c r="AJ82" s="77"/>
      <c r="AK82" s="8"/>
      <c r="AL82" s="8"/>
    </row>
    <row r="83" spans="1:38" s="23" customFormat="1" ht="45" customHeight="1">
      <c r="A83" s="55">
        <v>20</v>
      </c>
      <c r="B83" s="30" t="s">
        <v>146</v>
      </c>
      <c r="C83" s="17" t="s">
        <v>16</v>
      </c>
      <c r="D83" s="17"/>
      <c r="E83" s="29">
        <v>2.226</v>
      </c>
      <c r="F83" s="124"/>
      <c r="G83" s="19">
        <v>60464.042419999998</v>
      </c>
      <c r="H83" s="13"/>
      <c r="I83" s="14"/>
      <c r="J83" s="14"/>
      <c r="K83" s="14"/>
      <c r="L83" s="13"/>
      <c r="M83" s="14"/>
      <c r="N83" s="14"/>
      <c r="O83" s="14"/>
      <c r="P83" s="124"/>
      <c r="Q83" s="14"/>
      <c r="R83" s="14"/>
      <c r="S83" s="14"/>
      <c r="T83" s="124"/>
      <c r="U83" s="124"/>
      <c r="V83" s="19"/>
      <c r="W83" s="124"/>
      <c r="X83" s="19"/>
      <c r="Y83" s="124"/>
      <c r="Z83" s="29">
        <f>E83</f>
        <v>2.226</v>
      </c>
      <c r="AA83" s="124"/>
      <c r="AB83" s="19">
        <f>G83</f>
        <v>60464.042419999998</v>
      </c>
      <c r="AC83" s="19">
        <v>58045.48029</v>
      </c>
      <c r="AD83" s="19">
        <f t="shared" si="20"/>
        <v>2418.5621299999984</v>
      </c>
      <c r="AE83" s="124"/>
      <c r="AF83" s="124"/>
      <c r="AG83" s="124"/>
      <c r="AH83" s="125"/>
      <c r="AI83" s="124"/>
      <c r="AJ83" s="77"/>
      <c r="AK83" s="8"/>
      <c r="AL83" s="8"/>
    </row>
    <row r="84" spans="1:38" s="23" customFormat="1" ht="42" customHeight="1">
      <c r="A84" s="171" t="s">
        <v>158</v>
      </c>
      <c r="B84" s="172"/>
      <c r="C84" s="126"/>
      <c r="D84" s="17"/>
      <c r="E84" s="52">
        <f>SUM(E82:E83)</f>
        <v>15.975999999999999</v>
      </c>
      <c r="F84" s="124"/>
      <c r="G84" s="124">
        <f>SUM(G82:G83)</f>
        <v>384456.52140999999</v>
      </c>
      <c r="H84" s="13"/>
      <c r="I84" s="14"/>
      <c r="J84" s="14"/>
      <c r="K84" s="14"/>
      <c r="L84" s="13"/>
      <c r="M84" s="14"/>
      <c r="N84" s="14"/>
      <c r="O84" s="14"/>
      <c r="P84" s="124"/>
      <c r="Q84" s="14"/>
      <c r="R84" s="14"/>
      <c r="S84" s="14"/>
      <c r="T84" s="124"/>
      <c r="U84" s="124"/>
      <c r="V84" s="124">
        <f>SUM(V82)</f>
        <v>150000</v>
      </c>
      <c r="W84" s="124"/>
      <c r="X84" s="124">
        <f>SUM(X82)</f>
        <v>150000</v>
      </c>
      <c r="Y84" s="124"/>
      <c r="Z84" s="68">
        <f>SUM(Z82:Z83)</f>
        <v>15.975999999999999</v>
      </c>
      <c r="AA84" s="124"/>
      <c r="AB84" s="124">
        <f>SUM(AB82:AB83)</f>
        <v>234456.52140999999</v>
      </c>
      <c r="AC84" s="124">
        <f>SUM(AC82:AC83)</f>
        <v>225078.25887000002</v>
      </c>
      <c r="AD84" s="124">
        <f>SUM(AD82:AD83)</f>
        <v>9378.2625399999888</v>
      </c>
      <c r="AE84" s="124"/>
      <c r="AF84" s="124"/>
      <c r="AG84" s="124"/>
      <c r="AH84" s="125"/>
      <c r="AI84" s="124"/>
      <c r="AJ84" s="77"/>
      <c r="AK84" s="8"/>
      <c r="AL84" s="8"/>
    </row>
    <row r="85" spans="1:38" s="23" customFormat="1" ht="33" customHeight="1">
      <c r="A85" s="164" t="s">
        <v>77</v>
      </c>
      <c r="B85" s="165"/>
      <c r="C85" s="32"/>
      <c r="D85" s="32"/>
      <c r="E85" s="13"/>
      <c r="F85" s="13"/>
      <c r="G85" s="124"/>
      <c r="H85" s="13"/>
      <c r="I85" s="14"/>
      <c r="J85" s="14"/>
      <c r="K85" s="14"/>
      <c r="L85" s="13"/>
      <c r="M85" s="14"/>
      <c r="N85" s="14"/>
      <c r="O85" s="14"/>
      <c r="P85" s="13"/>
      <c r="Q85" s="14"/>
      <c r="R85" s="14"/>
      <c r="S85" s="14"/>
      <c r="T85" s="13"/>
      <c r="U85" s="124"/>
      <c r="V85" s="124"/>
      <c r="W85" s="124"/>
      <c r="X85" s="124"/>
      <c r="Y85" s="124"/>
      <c r="Z85" s="124"/>
      <c r="AA85" s="13"/>
      <c r="AB85" s="124"/>
      <c r="AC85" s="124"/>
      <c r="AD85" s="124"/>
      <c r="AE85" s="124"/>
      <c r="AF85" s="124"/>
      <c r="AG85" s="124"/>
      <c r="AH85" s="125"/>
      <c r="AI85" s="124"/>
      <c r="AJ85" s="77"/>
      <c r="AK85" s="8"/>
      <c r="AL85" s="8"/>
    </row>
    <row r="86" spans="1:38" s="23" customFormat="1" ht="46.5" customHeight="1">
      <c r="A86" s="55">
        <v>21</v>
      </c>
      <c r="B86" s="30" t="s">
        <v>78</v>
      </c>
      <c r="C86" s="17" t="s">
        <v>16</v>
      </c>
      <c r="D86" s="32"/>
      <c r="E86" s="21">
        <v>3.5</v>
      </c>
      <c r="F86" s="13"/>
      <c r="G86" s="19">
        <v>90326.556140000001</v>
      </c>
      <c r="H86" s="13"/>
      <c r="I86" s="14"/>
      <c r="J86" s="14"/>
      <c r="K86" s="14"/>
      <c r="L86" s="13"/>
      <c r="M86" s="14"/>
      <c r="N86" s="14"/>
      <c r="O86" s="14"/>
      <c r="P86" s="13"/>
      <c r="Q86" s="14"/>
      <c r="R86" s="14"/>
      <c r="S86" s="14"/>
      <c r="T86" s="13"/>
      <c r="U86" s="124"/>
      <c r="V86" s="124"/>
      <c r="W86" s="124"/>
      <c r="X86" s="124"/>
      <c r="Y86" s="124"/>
      <c r="Z86" s="21">
        <f>E86</f>
        <v>3.5</v>
      </c>
      <c r="AA86" s="13"/>
      <c r="AB86" s="19">
        <f>G86</f>
        <v>90326.556140000001</v>
      </c>
      <c r="AC86" s="19">
        <v>86713.49325</v>
      </c>
      <c r="AD86" s="19">
        <f>AB86-AC86</f>
        <v>3613.0628900000011</v>
      </c>
      <c r="AE86" s="124"/>
      <c r="AF86" s="124"/>
      <c r="AG86" s="124"/>
      <c r="AH86" s="125"/>
      <c r="AI86" s="124"/>
      <c r="AJ86" s="77"/>
      <c r="AK86" s="8"/>
      <c r="AL86" s="8"/>
    </row>
    <row r="87" spans="1:38" s="23" customFormat="1" ht="29.25" customHeight="1">
      <c r="A87" s="159" t="s">
        <v>110</v>
      </c>
      <c r="B87" s="160"/>
      <c r="C87" s="17"/>
      <c r="D87" s="17"/>
      <c r="E87" s="52">
        <f>E86</f>
        <v>3.5</v>
      </c>
      <c r="F87" s="124"/>
      <c r="G87" s="124">
        <f>G86</f>
        <v>90326.556140000001</v>
      </c>
      <c r="H87" s="13"/>
      <c r="I87" s="14"/>
      <c r="J87" s="14"/>
      <c r="K87" s="14"/>
      <c r="L87" s="13"/>
      <c r="M87" s="14"/>
      <c r="N87" s="14"/>
      <c r="O87" s="14"/>
      <c r="P87" s="124"/>
      <c r="Q87" s="14"/>
      <c r="R87" s="14"/>
      <c r="S87" s="14"/>
      <c r="T87" s="124"/>
      <c r="U87" s="124"/>
      <c r="V87" s="124"/>
      <c r="W87" s="124"/>
      <c r="X87" s="124"/>
      <c r="Y87" s="124"/>
      <c r="Z87" s="52">
        <f>Z86</f>
        <v>3.5</v>
      </c>
      <c r="AA87" s="124"/>
      <c r="AB87" s="124">
        <f>AB86</f>
        <v>90326.556140000001</v>
      </c>
      <c r="AC87" s="124">
        <f t="shared" ref="AC87:AD87" si="21">AC86</f>
        <v>86713.49325</v>
      </c>
      <c r="AD87" s="124">
        <f t="shared" si="21"/>
        <v>3613.0628900000011</v>
      </c>
      <c r="AE87" s="124"/>
      <c r="AF87" s="124"/>
      <c r="AG87" s="124"/>
      <c r="AH87" s="125"/>
      <c r="AI87" s="124"/>
      <c r="AJ87" s="77"/>
      <c r="AK87" s="8"/>
      <c r="AL87" s="8"/>
    </row>
    <row r="88" spans="1:38" s="23" customFormat="1" ht="29.25" customHeight="1">
      <c r="A88" s="164" t="s">
        <v>30</v>
      </c>
      <c r="B88" s="165"/>
      <c r="C88" s="148"/>
      <c r="D88" s="148"/>
      <c r="E88" s="148"/>
      <c r="F88" s="119"/>
      <c r="G88" s="124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9"/>
      <c r="V88" s="19"/>
      <c r="W88" s="19"/>
      <c r="X88" s="19"/>
      <c r="Y88" s="19"/>
      <c r="Z88" s="19"/>
      <c r="AA88" s="17"/>
      <c r="AB88" s="19"/>
      <c r="AC88" s="19"/>
      <c r="AD88" s="19"/>
      <c r="AE88" s="19"/>
      <c r="AF88" s="19"/>
      <c r="AG88" s="19"/>
      <c r="AH88" s="59"/>
      <c r="AI88" s="19"/>
      <c r="AJ88" s="78"/>
      <c r="AK88" s="8"/>
      <c r="AL88" s="8"/>
    </row>
    <row r="89" spans="1:38" s="23" customFormat="1" ht="45" customHeight="1">
      <c r="A89" s="55">
        <v>22</v>
      </c>
      <c r="B89" s="30" t="s">
        <v>31</v>
      </c>
      <c r="C89" s="17" t="s">
        <v>16</v>
      </c>
      <c r="D89" s="17"/>
      <c r="E89" s="29">
        <v>2.82</v>
      </c>
      <c r="F89" s="29"/>
      <c r="G89" s="19">
        <v>73334.083140000002</v>
      </c>
      <c r="H89" s="21"/>
      <c r="I89" s="22"/>
      <c r="J89" s="22"/>
      <c r="K89" s="22"/>
      <c r="L89" s="27"/>
      <c r="M89" s="28"/>
      <c r="N89" s="22"/>
      <c r="O89" s="22" t="s">
        <v>20</v>
      </c>
      <c r="P89" s="27"/>
      <c r="Q89" s="28"/>
      <c r="R89" s="22"/>
      <c r="S89" s="22"/>
      <c r="T89" s="20">
        <f>E89</f>
        <v>2.82</v>
      </c>
      <c r="U89" s="19"/>
      <c r="V89" s="19">
        <f>G89</f>
        <v>73334.083140000002</v>
      </c>
      <c r="W89" s="19"/>
      <c r="X89" s="19">
        <f>V89</f>
        <v>73334.083140000002</v>
      </c>
      <c r="Y89" s="19"/>
      <c r="Z89" s="29"/>
      <c r="AA89" s="20"/>
      <c r="AB89" s="19"/>
      <c r="AC89" s="19"/>
      <c r="AD89" s="19"/>
      <c r="AE89" s="19"/>
      <c r="AF89" s="19"/>
      <c r="AG89" s="19"/>
      <c r="AH89" s="59"/>
      <c r="AI89" s="19"/>
      <c r="AJ89" s="78"/>
      <c r="AK89" s="8"/>
      <c r="AL89" s="8"/>
    </row>
    <row r="90" spans="1:38" s="23" customFormat="1" ht="66.75" customHeight="1">
      <c r="A90" s="55">
        <v>23</v>
      </c>
      <c r="B90" s="30" t="s">
        <v>147</v>
      </c>
      <c r="C90" s="17" t="s">
        <v>16</v>
      </c>
      <c r="D90" s="17"/>
      <c r="E90" s="29">
        <v>3.5</v>
      </c>
      <c r="F90" s="29"/>
      <c r="G90" s="19">
        <v>84438</v>
      </c>
      <c r="H90" s="21"/>
      <c r="I90" s="22"/>
      <c r="J90" s="22"/>
      <c r="K90" s="22"/>
      <c r="L90" s="27"/>
      <c r="M90" s="28"/>
      <c r="N90" s="22"/>
      <c r="O90" s="22"/>
      <c r="P90" s="27"/>
      <c r="Q90" s="28"/>
      <c r="R90" s="22"/>
      <c r="S90" s="22"/>
      <c r="T90" s="20"/>
      <c r="U90" s="19"/>
      <c r="V90" s="19"/>
      <c r="W90" s="19"/>
      <c r="X90" s="19"/>
      <c r="Y90" s="19"/>
      <c r="Z90" s="29">
        <f>E90</f>
        <v>3.5</v>
      </c>
      <c r="AA90" s="20"/>
      <c r="AB90" s="19">
        <f>G90</f>
        <v>84438</v>
      </c>
      <c r="AC90" s="19">
        <v>81060.479389999993</v>
      </c>
      <c r="AD90" s="19">
        <f>AB90-AC90</f>
        <v>3377.5206100000069</v>
      </c>
      <c r="AE90" s="19"/>
      <c r="AF90" s="19"/>
      <c r="AG90" s="19"/>
      <c r="AH90" s="59"/>
      <c r="AI90" s="19"/>
      <c r="AJ90" s="78"/>
      <c r="AK90" s="8"/>
      <c r="AL90" s="8"/>
    </row>
    <row r="91" spans="1:38" s="23" customFormat="1" ht="36.75" customHeight="1">
      <c r="A91" s="159" t="s">
        <v>42</v>
      </c>
      <c r="B91" s="160"/>
      <c r="C91" s="32"/>
      <c r="D91" s="32"/>
      <c r="E91" s="13">
        <f>SUM(E89:E90)</f>
        <v>6.32</v>
      </c>
      <c r="F91" s="13"/>
      <c r="G91" s="124">
        <f>SUM(G89:G90)</f>
        <v>157772.08314</v>
      </c>
      <c r="H91" s="13" t="e">
        <f>SUM(#REF!)</f>
        <v>#REF!</v>
      </c>
      <c r="I91" s="14" t="e">
        <f>SUM(#REF!)</f>
        <v>#REF!</v>
      </c>
      <c r="J91" s="14" t="e">
        <f>SUM(#REF!)</f>
        <v>#REF!</v>
      </c>
      <c r="K91" s="14"/>
      <c r="L91" s="13" t="e">
        <f>SUM(#REF!)</f>
        <v>#REF!</v>
      </c>
      <c r="M91" s="14" t="e">
        <f>SUM(#REF!)</f>
        <v>#REF!</v>
      </c>
      <c r="N91" s="14" t="e">
        <f>SUM(#REF!)</f>
        <v>#REF!</v>
      </c>
      <c r="O91" s="14"/>
      <c r="P91" s="13">
        <f>SUM(P89:P89)</f>
        <v>0</v>
      </c>
      <c r="Q91" s="14">
        <f>SUM(Q89:Q89)</f>
        <v>0</v>
      </c>
      <c r="R91" s="14">
        <f>SUM(R89:R89)</f>
        <v>0</v>
      </c>
      <c r="S91" s="14"/>
      <c r="T91" s="13">
        <f>SUM(T89:T89)</f>
        <v>2.82</v>
      </c>
      <c r="U91" s="124">
        <f>SUM(U89:U89)</f>
        <v>0</v>
      </c>
      <c r="V91" s="124">
        <f>SUM(V89:V89)</f>
        <v>73334.083140000002</v>
      </c>
      <c r="W91" s="124"/>
      <c r="X91" s="124">
        <f>SUM(X89:X89)</f>
        <v>73334.083140000002</v>
      </c>
      <c r="Y91" s="124"/>
      <c r="Z91" s="124">
        <f>Z90</f>
        <v>3.5</v>
      </c>
      <c r="AA91" s="13"/>
      <c r="AB91" s="124">
        <f>AB90</f>
        <v>84438</v>
      </c>
      <c r="AC91" s="124">
        <f>AC90</f>
        <v>81060.479389999993</v>
      </c>
      <c r="AD91" s="124">
        <f>AD90</f>
        <v>3377.5206100000069</v>
      </c>
      <c r="AE91" s="124"/>
      <c r="AF91" s="124"/>
      <c r="AG91" s="124"/>
      <c r="AH91" s="125"/>
      <c r="AI91" s="124"/>
      <c r="AJ91" s="77"/>
      <c r="AK91" s="8"/>
      <c r="AL91" s="8"/>
    </row>
    <row r="92" spans="1:38" s="23" customFormat="1" ht="28.5" customHeight="1">
      <c r="A92" s="161" t="s">
        <v>87</v>
      </c>
      <c r="B92" s="148"/>
      <c r="C92" s="32"/>
      <c r="D92" s="32"/>
      <c r="E92" s="13"/>
      <c r="F92" s="13"/>
      <c r="G92" s="124"/>
      <c r="H92" s="13"/>
      <c r="I92" s="14"/>
      <c r="J92" s="14"/>
      <c r="K92" s="14"/>
      <c r="L92" s="13"/>
      <c r="M92" s="14"/>
      <c r="N92" s="14"/>
      <c r="O92" s="14"/>
      <c r="P92" s="13"/>
      <c r="Q92" s="14"/>
      <c r="R92" s="14"/>
      <c r="S92" s="14"/>
      <c r="T92" s="13"/>
      <c r="U92" s="124"/>
      <c r="V92" s="124"/>
      <c r="W92" s="124"/>
      <c r="X92" s="124"/>
      <c r="Y92" s="124"/>
      <c r="Z92" s="124"/>
      <c r="AA92" s="13"/>
      <c r="AB92" s="124"/>
      <c r="AC92" s="124"/>
      <c r="AD92" s="124"/>
      <c r="AE92" s="124"/>
      <c r="AF92" s="124"/>
      <c r="AG92" s="124"/>
      <c r="AH92" s="125"/>
      <c r="AI92" s="124"/>
      <c r="AJ92" s="77"/>
      <c r="AK92" s="8"/>
      <c r="AL92" s="8"/>
    </row>
    <row r="93" spans="1:38" s="23" customFormat="1" ht="46.5" customHeight="1">
      <c r="A93" s="55">
        <v>24</v>
      </c>
      <c r="B93" s="30" t="s">
        <v>143</v>
      </c>
      <c r="C93" s="32"/>
      <c r="D93" s="32"/>
      <c r="E93" s="21">
        <f>38.268-32.25</f>
        <v>6.0180000000000007</v>
      </c>
      <c r="F93" s="46"/>
      <c r="G93" s="19">
        <v>177923.18470000001</v>
      </c>
      <c r="H93" s="13"/>
      <c r="I93" s="14"/>
      <c r="J93" s="14"/>
      <c r="K93" s="14"/>
      <c r="L93" s="13"/>
      <c r="M93" s="14"/>
      <c r="N93" s="14"/>
      <c r="O93" s="14"/>
      <c r="P93" s="13"/>
      <c r="Q93" s="14"/>
      <c r="R93" s="14"/>
      <c r="S93" s="14"/>
      <c r="T93" s="13"/>
      <c r="U93" s="124"/>
      <c r="V93" s="124"/>
      <c r="W93" s="124"/>
      <c r="X93" s="124"/>
      <c r="Y93" s="124"/>
      <c r="Z93" s="21">
        <f>E93</f>
        <v>6.0180000000000007</v>
      </c>
      <c r="AA93" s="13"/>
      <c r="AB93" s="19">
        <f>G93</f>
        <v>177923.18470000001</v>
      </c>
      <c r="AC93" s="19">
        <f t="shared" ref="AC93" si="22">AB93*0.96</f>
        <v>170806.257312</v>
      </c>
      <c r="AD93" s="19">
        <f t="shared" ref="AD93:AD94" si="23">AB93-AC93</f>
        <v>7116.927388000011</v>
      </c>
      <c r="AE93" s="124"/>
      <c r="AF93" s="124"/>
      <c r="AG93" s="124"/>
      <c r="AH93" s="125"/>
      <c r="AI93" s="124"/>
      <c r="AJ93" s="77"/>
      <c r="AK93" s="8"/>
      <c r="AL93" s="8"/>
    </row>
    <row r="94" spans="1:38" s="23" customFormat="1" ht="46.5" customHeight="1">
      <c r="A94" s="55">
        <v>25</v>
      </c>
      <c r="B94" s="30" t="s">
        <v>144</v>
      </c>
      <c r="C94" s="32"/>
      <c r="D94" s="32"/>
      <c r="E94" s="21">
        <f>27-23.25</f>
        <v>3.75</v>
      </c>
      <c r="F94" s="46"/>
      <c r="G94" s="19">
        <v>94254.907399999996</v>
      </c>
      <c r="H94" s="13"/>
      <c r="I94" s="14"/>
      <c r="J94" s="14"/>
      <c r="K94" s="14"/>
      <c r="L94" s="13"/>
      <c r="M94" s="14"/>
      <c r="N94" s="14"/>
      <c r="O94" s="14"/>
      <c r="P94" s="13"/>
      <c r="Q94" s="14"/>
      <c r="R94" s="14"/>
      <c r="S94" s="14"/>
      <c r="T94" s="13"/>
      <c r="U94" s="124"/>
      <c r="V94" s="124"/>
      <c r="W94" s="124"/>
      <c r="X94" s="124"/>
      <c r="Y94" s="124"/>
      <c r="Z94" s="21">
        <f>E94</f>
        <v>3.75</v>
      </c>
      <c r="AA94" s="13"/>
      <c r="AB94" s="19">
        <f>G94</f>
        <v>94254.907399999996</v>
      </c>
      <c r="AC94" s="19">
        <v>90484.710430000006</v>
      </c>
      <c r="AD94" s="19">
        <f t="shared" si="23"/>
        <v>3770.19696999999</v>
      </c>
      <c r="AE94" s="124"/>
      <c r="AF94" s="124"/>
      <c r="AG94" s="124"/>
      <c r="AH94" s="125"/>
      <c r="AI94" s="124"/>
      <c r="AJ94" s="77"/>
      <c r="AK94" s="8"/>
      <c r="AL94" s="8"/>
    </row>
    <row r="95" spans="1:38" s="23" customFormat="1" ht="30" customHeight="1">
      <c r="A95" s="159" t="s">
        <v>111</v>
      </c>
      <c r="B95" s="160"/>
      <c r="C95" s="32"/>
      <c r="D95" s="32"/>
      <c r="E95" s="13">
        <f>SUM(E93:E94)</f>
        <v>9.7680000000000007</v>
      </c>
      <c r="F95" s="13"/>
      <c r="G95" s="124">
        <f>SUM(G93:G94)</f>
        <v>272178.09210000001</v>
      </c>
      <c r="H95" s="13"/>
      <c r="I95" s="14"/>
      <c r="J95" s="14"/>
      <c r="K95" s="14"/>
      <c r="L95" s="13"/>
      <c r="M95" s="14"/>
      <c r="N95" s="14"/>
      <c r="O95" s="14"/>
      <c r="P95" s="13"/>
      <c r="Q95" s="14"/>
      <c r="R95" s="14"/>
      <c r="S95" s="14"/>
      <c r="T95" s="13"/>
      <c r="U95" s="124"/>
      <c r="V95" s="124"/>
      <c r="W95" s="124"/>
      <c r="X95" s="124"/>
      <c r="Y95" s="124"/>
      <c r="Z95" s="13">
        <f>SUM(Z93:Z94)</f>
        <v>9.7680000000000007</v>
      </c>
      <c r="AA95" s="13"/>
      <c r="AB95" s="124">
        <f>SUM(AB93:AB94)</f>
        <v>272178.09210000001</v>
      </c>
      <c r="AC95" s="124">
        <f>SUM(AC93:AC94)</f>
        <v>261290.96774200001</v>
      </c>
      <c r="AD95" s="124">
        <f>SUM(AD93:AD94)</f>
        <v>10887.124358000001</v>
      </c>
      <c r="AE95" s="124"/>
      <c r="AF95" s="124"/>
      <c r="AG95" s="124"/>
      <c r="AH95" s="125"/>
      <c r="AI95" s="124"/>
      <c r="AJ95" s="77"/>
      <c r="AK95" s="8"/>
      <c r="AL95" s="8"/>
    </row>
    <row r="96" spans="1:38" s="23" customFormat="1" ht="29.25" customHeight="1">
      <c r="A96" s="161" t="s">
        <v>32</v>
      </c>
      <c r="B96" s="148"/>
      <c r="C96" s="148"/>
      <c r="D96" s="148"/>
      <c r="E96" s="148"/>
      <c r="F96" s="119"/>
      <c r="G96" s="124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9"/>
      <c r="V96" s="19"/>
      <c r="W96" s="19"/>
      <c r="X96" s="19"/>
      <c r="Y96" s="19"/>
      <c r="Z96" s="19"/>
      <c r="AA96" s="17"/>
      <c r="AB96" s="19"/>
      <c r="AC96" s="19"/>
      <c r="AD96" s="19"/>
      <c r="AE96" s="19"/>
      <c r="AF96" s="19"/>
      <c r="AG96" s="19"/>
      <c r="AH96" s="59"/>
      <c r="AI96" s="19"/>
      <c r="AJ96" s="78"/>
      <c r="AK96" s="8"/>
      <c r="AL96" s="8"/>
    </row>
    <row r="97" spans="1:38" s="23" customFormat="1" ht="48" customHeight="1">
      <c r="A97" s="55">
        <v>26</v>
      </c>
      <c r="B97" s="30" t="s">
        <v>59</v>
      </c>
      <c r="C97" s="17" t="s">
        <v>16</v>
      </c>
      <c r="D97" s="17"/>
      <c r="E97" s="29">
        <f>8.63-1.82</f>
        <v>6.8100000000000005</v>
      </c>
      <c r="F97" s="29"/>
      <c r="G97" s="19">
        <v>163235.96216</v>
      </c>
      <c r="H97" s="21"/>
      <c r="I97" s="22"/>
      <c r="J97" s="22"/>
      <c r="K97" s="22"/>
      <c r="L97" s="27"/>
      <c r="M97" s="28"/>
      <c r="N97" s="22"/>
      <c r="O97" s="22"/>
      <c r="P97" s="20"/>
      <c r="Q97" s="22"/>
      <c r="R97" s="22"/>
      <c r="S97" s="22"/>
      <c r="T97" s="20">
        <f>E97</f>
        <v>6.8100000000000005</v>
      </c>
      <c r="U97" s="19"/>
      <c r="V97" s="19">
        <f>G97</f>
        <v>163235.96216</v>
      </c>
      <c r="W97" s="19"/>
      <c r="X97" s="19">
        <f>V97</f>
        <v>163235.96216</v>
      </c>
      <c r="Y97" s="19"/>
      <c r="Z97" s="19"/>
      <c r="AA97" s="20"/>
      <c r="AB97" s="24"/>
      <c r="AC97" s="24"/>
      <c r="AD97" s="24"/>
      <c r="AE97" s="24"/>
      <c r="AF97" s="24"/>
      <c r="AG97" s="19"/>
      <c r="AH97" s="59"/>
      <c r="AI97" s="19"/>
      <c r="AJ97" s="78"/>
      <c r="AK97" s="8"/>
      <c r="AL97" s="8"/>
    </row>
    <row r="98" spans="1:38" s="23" customFormat="1" ht="36.75" customHeight="1">
      <c r="A98" s="55">
        <v>27</v>
      </c>
      <c r="B98" s="30" t="s">
        <v>133</v>
      </c>
      <c r="C98" s="17"/>
      <c r="D98" s="17"/>
      <c r="E98" s="29">
        <v>6</v>
      </c>
      <c r="F98" s="29"/>
      <c r="G98" s="19">
        <v>142640.61877</v>
      </c>
      <c r="H98" s="21"/>
      <c r="I98" s="22"/>
      <c r="J98" s="22"/>
      <c r="K98" s="22"/>
      <c r="L98" s="27"/>
      <c r="M98" s="28"/>
      <c r="N98" s="22"/>
      <c r="O98" s="22"/>
      <c r="P98" s="20"/>
      <c r="Q98" s="22"/>
      <c r="R98" s="22"/>
      <c r="S98" s="22"/>
      <c r="T98" s="20"/>
      <c r="U98" s="19"/>
      <c r="V98" s="19"/>
      <c r="W98" s="19"/>
      <c r="X98" s="19"/>
      <c r="Y98" s="19"/>
      <c r="Z98" s="20">
        <v>6</v>
      </c>
      <c r="AA98" s="20"/>
      <c r="AB98" s="19">
        <f>G98</f>
        <v>142640.61877</v>
      </c>
      <c r="AC98" s="19">
        <v>136934.99299999999</v>
      </c>
      <c r="AD98" s="19">
        <f t="shared" ref="AD98" si="24">AB98-AC98</f>
        <v>5705.6257700000133</v>
      </c>
      <c r="AE98" s="24"/>
      <c r="AF98" s="24"/>
      <c r="AG98" s="19"/>
      <c r="AH98" s="59"/>
      <c r="AI98" s="19"/>
      <c r="AJ98" s="78"/>
      <c r="AK98" s="8"/>
      <c r="AL98" s="8"/>
    </row>
    <row r="99" spans="1:38" s="23" customFormat="1" ht="31.5" customHeight="1">
      <c r="A99" s="56"/>
      <c r="B99" s="16" t="s">
        <v>55</v>
      </c>
      <c r="C99" s="17"/>
      <c r="D99" s="17"/>
      <c r="E99" s="29">
        <f>SUM(E97:E98)</f>
        <v>12.81</v>
      </c>
      <c r="F99" s="29"/>
      <c r="G99" s="19">
        <f>SUM(G97:G98)</f>
        <v>305876.58093</v>
      </c>
      <c r="H99" s="21"/>
      <c r="I99" s="22"/>
      <c r="J99" s="22"/>
      <c r="K99" s="22"/>
      <c r="L99" s="27"/>
      <c r="M99" s="28"/>
      <c r="N99" s="22"/>
      <c r="O99" s="22"/>
      <c r="P99" s="20"/>
      <c r="Q99" s="22"/>
      <c r="R99" s="22"/>
      <c r="S99" s="22"/>
      <c r="T99" s="20">
        <f>SUM(T97:T97)</f>
        <v>6.8100000000000005</v>
      </c>
      <c r="U99" s="19"/>
      <c r="V99" s="19">
        <f>SUM(V97:V97)</f>
        <v>163235.96216</v>
      </c>
      <c r="W99" s="19">
        <f>SUM(W97:W97)</f>
        <v>0</v>
      </c>
      <c r="X99" s="19">
        <f>SUM(X97:X97)</f>
        <v>163235.96216</v>
      </c>
      <c r="Y99" s="19"/>
      <c r="Z99" s="29">
        <f>SUM(Z97:Z98)</f>
        <v>6</v>
      </c>
      <c r="AA99" s="29"/>
      <c r="AB99" s="19">
        <f>SUM(AB97:AB98)</f>
        <v>142640.61877</v>
      </c>
      <c r="AC99" s="19">
        <f>SUM(AC97:AC98)</f>
        <v>136934.99299999999</v>
      </c>
      <c r="AD99" s="19">
        <f>SUM(AD97:AD98)</f>
        <v>5705.6257700000133</v>
      </c>
      <c r="AE99" s="19"/>
      <c r="AF99" s="19"/>
      <c r="AG99" s="19"/>
      <c r="AH99" s="59"/>
      <c r="AI99" s="19"/>
      <c r="AJ99" s="78"/>
      <c r="AK99" s="8"/>
      <c r="AL99" s="8"/>
    </row>
    <row r="100" spans="1:38" s="23" customFormat="1" ht="35.25" customHeight="1">
      <c r="A100" s="56"/>
      <c r="B100" s="16" t="s">
        <v>53</v>
      </c>
      <c r="C100" s="17"/>
      <c r="D100" s="17"/>
      <c r="E100" s="29">
        <f>T100+Z100</f>
        <v>11.998000000000001</v>
      </c>
      <c r="F100" s="29"/>
      <c r="G100" s="19">
        <f>V100+AB100</f>
        <v>324796.90000000002</v>
      </c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>
        <v>7.4320000000000004</v>
      </c>
      <c r="U100" s="19"/>
      <c r="V100" s="19">
        <v>248931</v>
      </c>
      <c r="W100" s="19"/>
      <c r="X100" s="19">
        <f>V100</f>
        <v>248931</v>
      </c>
      <c r="Y100" s="19"/>
      <c r="Z100" s="29">
        <v>4.5659999999999998</v>
      </c>
      <c r="AA100" s="29"/>
      <c r="AB100" s="19">
        <v>75865.899999999994</v>
      </c>
      <c r="AC100" s="19"/>
      <c r="AD100" s="19">
        <f>AB100</f>
        <v>75865.899999999994</v>
      </c>
      <c r="AE100" s="19"/>
      <c r="AF100" s="19"/>
      <c r="AG100" s="19"/>
      <c r="AH100" s="59"/>
      <c r="AI100" s="19"/>
      <c r="AJ100" s="78"/>
      <c r="AK100" s="8"/>
      <c r="AL100" s="8"/>
    </row>
    <row r="101" spans="1:38" s="23" customFormat="1" ht="32.25" customHeight="1">
      <c r="A101" s="159" t="s">
        <v>112</v>
      </c>
      <c r="B101" s="160"/>
      <c r="C101" s="160"/>
      <c r="D101" s="122"/>
      <c r="E101" s="124">
        <f>SUM(E99:E100)</f>
        <v>24.808</v>
      </c>
      <c r="F101" s="124"/>
      <c r="G101" s="124">
        <f>SUM(G99:G100)</f>
        <v>630673.48093000008</v>
      </c>
      <c r="H101" s="13" t="e">
        <f>SUM(#REF!)</f>
        <v>#REF!</v>
      </c>
      <c r="I101" s="14" t="e">
        <f>SUM(#REF!)</f>
        <v>#REF!</v>
      </c>
      <c r="J101" s="14" t="e">
        <f>SUM(#REF!)</f>
        <v>#REF!</v>
      </c>
      <c r="K101" s="14"/>
      <c r="L101" s="13" t="e">
        <f>SUM(#REF!)</f>
        <v>#REF!</v>
      </c>
      <c r="M101" s="14" t="e">
        <f>SUM(#REF!)</f>
        <v>#REF!</v>
      </c>
      <c r="N101" s="14" t="e">
        <f>SUM(#REF!)</f>
        <v>#REF!</v>
      </c>
      <c r="O101" s="14" t="e">
        <f>SUM(#REF!)</f>
        <v>#REF!</v>
      </c>
      <c r="P101" s="124">
        <f>SUM(P97:P100)</f>
        <v>0</v>
      </c>
      <c r="Q101" s="14">
        <f>SUM(Q97:Q100)</f>
        <v>0</v>
      </c>
      <c r="R101" s="14">
        <f>SUM(R97:R100)</f>
        <v>0</v>
      </c>
      <c r="S101" s="14">
        <f>SUM(S97:S100)</f>
        <v>0</v>
      </c>
      <c r="T101" s="124">
        <f>SUM(T99:T100)</f>
        <v>14.242000000000001</v>
      </c>
      <c r="U101" s="124"/>
      <c r="V101" s="124">
        <f>SUM(V99:V100)</f>
        <v>412166.96216</v>
      </c>
      <c r="W101" s="124">
        <f t="shared" ref="W101:X101" si="25">SUM(W99:W100)</f>
        <v>0</v>
      </c>
      <c r="X101" s="124">
        <f t="shared" si="25"/>
        <v>412166.96216</v>
      </c>
      <c r="Y101" s="124"/>
      <c r="Z101" s="124">
        <f>SUM(Z99:Z100)</f>
        <v>10.565999999999999</v>
      </c>
      <c r="AA101" s="124"/>
      <c r="AB101" s="124">
        <f>SUM(AB99:AB100)</f>
        <v>218506.51877</v>
      </c>
      <c r="AC101" s="124">
        <f t="shared" ref="AC101:AD101" si="26">SUM(AC99:AC100)</f>
        <v>136934.99299999999</v>
      </c>
      <c r="AD101" s="124">
        <f t="shared" si="26"/>
        <v>81571.525770000007</v>
      </c>
      <c r="AE101" s="124"/>
      <c r="AF101" s="124"/>
      <c r="AG101" s="124"/>
      <c r="AH101" s="125"/>
      <c r="AI101" s="124"/>
      <c r="AJ101" s="77"/>
      <c r="AK101" s="8"/>
      <c r="AL101" s="8"/>
    </row>
    <row r="102" spans="1:38" s="23" customFormat="1" ht="27.2" customHeight="1">
      <c r="A102" s="161" t="s">
        <v>70</v>
      </c>
      <c r="B102" s="148"/>
      <c r="C102" s="122"/>
      <c r="D102" s="122"/>
      <c r="E102" s="124"/>
      <c r="F102" s="124"/>
      <c r="G102" s="124"/>
      <c r="H102" s="13"/>
      <c r="I102" s="14"/>
      <c r="J102" s="14"/>
      <c r="K102" s="14"/>
      <c r="L102" s="13"/>
      <c r="M102" s="14"/>
      <c r="N102" s="14"/>
      <c r="O102" s="14"/>
      <c r="P102" s="124"/>
      <c r="Q102" s="14"/>
      <c r="R102" s="14"/>
      <c r="S102" s="1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5"/>
      <c r="AI102" s="124"/>
      <c r="AJ102" s="77"/>
      <c r="AK102" s="8"/>
      <c r="AL102" s="8"/>
    </row>
    <row r="103" spans="1:38" s="23" customFormat="1" ht="42.75" customHeight="1">
      <c r="A103" s="55">
        <v>28</v>
      </c>
      <c r="B103" s="30" t="s">
        <v>134</v>
      </c>
      <c r="C103" s="17" t="s">
        <v>16</v>
      </c>
      <c r="D103" s="122"/>
      <c r="E103" s="29">
        <v>3.8</v>
      </c>
      <c r="F103" s="124"/>
      <c r="G103" s="19">
        <v>92973.699995999996</v>
      </c>
      <c r="H103" s="13"/>
      <c r="I103" s="14"/>
      <c r="J103" s="14"/>
      <c r="K103" s="14"/>
      <c r="L103" s="13"/>
      <c r="M103" s="14"/>
      <c r="N103" s="14"/>
      <c r="O103" s="14"/>
      <c r="P103" s="124"/>
      <c r="Q103" s="14"/>
      <c r="R103" s="14"/>
      <c r="S103" s="14"/>
      <c r="T103" s="124"/>
      <c r="U103" s="124"/>
      <c r="V103" s="124"/>
      <c r="W103" s="124"/>
      <c r="X103" s="124"/>
      <c r="Y103" s="124"/>
      <c r="Z103" s="20">
        <f>E103</f>
        <v>3.8</v>
      </c>
      <c r="AA103" s="124"/>
      <c r="AB103" s="19">
        <f>G103</f>
        <v>92973.699995999996</v>
      </c>
      <c r="AC103" s="19">
        <v>89254.751329999999</v>
      </c>
      <c r="AD103" s="19">
        <f t="shared" ref="AD103:AD104" si="27">AB103-AC103</f>
        <v>3718.9486659999966</v>
      </c>
      <c r="AE103" s="124"/>
      <c r="AF103" s="124"/>
      <c r="AG103" s="124"/>
      <c r="AH103" s="125"/>
      <c r="AI103" s="124"/>
      <c r="AJ103" s="77"/>
      <c r="AK103" s="8"/>
      <c r="AL103" s="8"/>
    </row>
    <row r="104" spans="1:38" s="23" customFormat="1" ht="45" customHeight="1">
      <c r="A104" s="55">
        <v>29</v>
      </c>
      <c r="B104" s="30" t="s">
        <v>79</v>
      </c>
      <c r="C104" s="17" t="s">
        <v>16</v>
      </c>
      <c r="D104" s="122"/>
      <c r="E104" s="20">
        <v>5</v>
      </c>
      <c r="F104" s="124"/>
      <c r="G104" s="19">
        <v>126288.35093</v>
      </c>
      <c r="H104" s="13"/>
      <c r="I104" s="14"/>
      <c r="J104" s="14"/>
      <c r="K104" s="14"/>
      <c r="L104" s="13"/>
      <c r="M104" s="14"/>
      <c r="N104" s="14"/>
      <c r="O104" s="14"/>
      <c r="P104" s="124"/>
      <c r="Q104" s="14"/>
      <c r="R104" s="14"/>
      <c r="S104" s="14"/>
      <c r="T104" s="124"/>
      <c r="U104" s="124"/>
      <c r="V104" s="124"/>
      <c r="W104" s="124"/>
      <c r="X104" s="124"/>
      <c r="Y104" s="124"/>
      <c r="Z104" s="20">
        <f>E104</f>
        <v>5</v>
      </c>
      <c r="AA104" s="124"/>
      <c r="AB104" s="19">
        <f>G104</f>
        <v>126288.35093</v>
      </c>
      <c r="AC104" s="19">
        <v>121236.81599</v>
      </c>
      <c r="AD104" s="19">
        <f t="shared" si="27"/>
        <v>5051.5349399999977</v>
      </c>
      <c r="AE104" s="124"/>
      <c r="AF104" s="124"/>
      <c r="AG104" s="124"/>
      <c r="AH104" s="125" t="s">
        <v>18</v>
      </c>
      <c r="AI104" s="124"/>
      <c r="AJ104" s="77"/>
      <c r="AK104" s="8"/>
      <c r="AL104" s="8"/>
    </row>
    <row r="105" spans="1:38" s="23" customFormat="1" ht="33" customHeight="1">
      <c r="A105" s="159" t="s">
        <v>121</v>
      </c>
      <c r="B105" s="160"/>
      <c r="C105" s="122"/>
      <c r="D105" s="122"/>
      <c r="E105" s="52">
        <f>SUM(E103:E104)</f>
        <v>8.8000000000000007</v>
      </c>
      <c r="F105" s="124"/>
      <c r="G105" s="124">
        <f>SUM(G103:G104)</f>
        <v>219262.050926</v>
      </c>
      <c r="H105" s="13"/>
      <c r="I105" s="14"/>
      <c r="J105" s="14"/>
      <c r="K105" s="14"/>
      <c r="L105" s="13"/>
      <c r="M105" s="14"/>
      <c r="N105" s="14"/>
      <c r="O105" s="14"/>
      <c r="P105" s="124"/>
      <c r="Q105" s="14"/>
      <c r="R105" s="14"/>
      <c r="S105" s="14"/>
      <c r="T105" s="124"/>
      <c r="U105" s="124"/>
      <c r="V105" s="124"/>
      <c r="W105" s="124"/>
      <c r="X105" s="124"/>
      <c r="Y105" s="124"/>
      <c r="Z105" s="52">
        <f>SUM(Z103:Z104)</f>
        <v>8.8000000000000007</v>
      </c>
      <c r="AA105" s="124"/>
      <c r="AB105" s="124">
        <f>SUM(AB103:AB104)</f>
        <v>219262.050926</v>
      </c>
      <c r="AC105" s="124">
        <f>SUM(AC103:AC104)</f>
        <v>210491.56732</v>
      </c>
      <c r="AD105" s="124">
        <f>SUM(AD103:AD104)</f>
        <v>8770.4836059999943</v>
      </c>
      <c r="AE105" s="124"/>
      <c r="AF105" s="124"/>
      <c r="AG105" s="124"/>
      <c r="AH105" s="125"/>
      <c r="AI105" s="124"/>
      <c r="AJ105" s="77"/>
      <c r="AK105" s="8"/>
      <c r="AL105" s="8"/>
    </row>
    <row r="106" spans="1:38" s="23" customFormat="1" ht="31.5" customHeight="1">
      <c r="A106" s="161" t="s">
        <v>159</v>
      </c>
      <c r="B106" s="148"/>
      <c r="C106" s="148"/>
      <c r="D106" s="148"/>
      <c r="E106" s="148"/>
      <c r="F106" s="119"/>
      <c r="G106" s="124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9"/>
      <c r="V106" s="19"/>
      <c r="W106" s="19"/>
      <c r="X106" s="19"/>
      <c r="Y106" s="19"/>
      <c r="Z106" s="19"/>
      <c r="AA106" s="17"/>
      <c r="AB106" s="19"/>
      <c r="AC106" s="19"/>
      <c r="AD106" s="19"/>
      <c r="AE106" s="19"/>
      <c r="AF106" s="19"/>
      <c r="AG106" s="19"/>
      <c r="AH106" s="59"/>
      <c r="AI106" s="19"/>
      <c r="AJ106" s="78"/>
      <c r="AK106" s="8"/>
      <c r="AL106" s="8"/>
    </row>
    <row r="107" spans="1:38" s="23" customFormat="1" ht="45" customHeight="1">
      <c r="A107" s="55">
        <v>30</v>
      </c>
      <c r="B107" s="30" t="s">
        <v>60</v>
      </c>
      <c r="C107" s="17" t="s">
        <v>16</v>
      </c>
      <c r="D107" s="17"/>
      <c r="E107" s="29">
        <v>8.32</v>
      </c>
      <c r="F107" s="29"/>
      <c r="G107" s="19">
        <v>203076.71726999999</v>
      </c>
      <c r="H107" s="21"/>
      <c r="I107" s="22"/>
      <c r="J107" s="22"/>
      <c r="K107" s="22"/>
      <c r="L107" s="20"/>
      <c r="M107" s="22"/>
      <c r="N107" s="22"/>
      <c r="O107" s="22"/>
      <c r="P107" s="27"/>
      <c r="Q107" s="28"/>
      <c r="R107" s="22"/>
      <c r="S107" s="22"/>
      <c r="T107" s="20">
        <f>E107</f>
        <v>8.32</v>
      </c>
      <c r="U107" s="19"/>
      <c r="V107" s="19">
        <f>G107</f>
        <v>203076.71726999999</v>
      </c>
      <c r="W107" s="19"/>
      <c r="X107" s="19">
        <f>V107</f>
        <v>203076.71726999999</v>
      </c>
      <c r="Y107" s="19"/>
      <c r="Z107" s="29"/>
      <c r="AA107" s="20"/>
      <c r="AB107" s="19"/>
      <c r="AC107" s="19"/>
      <c r="AD107" s="19"/>
      <c r="AE107" s="19"/>
      <c r="AF107" s="19"/>
      <c r="AG107" s="19"/>
      <c r="AH107" s="59"/>
      <c r="AI107" s="19"/>
      <c r="AJ107" s="78"/>
      <c r="AK107" s="8"/>
      <c r="AL107" s="8"/>
    </row>
    <row r="108" spans="1:38" s="23" customFormat="1" ht="27" customHeight="1">
      <c r="A108" s="56"/>
      <c r="B108" s="16" t="s">
        <v>53</v>
      </c>
      <c r="C108" s="17" t="s">
        <v>22</v>
      </c>
      <c r="D108" s="17"/>
      <c r="E108" s="29">
        <f>T108+Z108</f>
        <v>14.13</v>
      </c>
      <c r="F108" s="29"/>
      <c r="G108" s="19">
        <f>V108+AB108</f>
        <v>256645.1</v>
      </c>
      <c r="H108" s="21"/>
      <c r="I108" s="22"/>
      <c r="J108" s="22"/>
      <c r="K108" s="22"/>
      <c r="L108" s="20"/>
      <c r="M108" s="22"/>
      <c r="N108" s="22"/>
      <c r="O108" s="22"/>
      <c r="P108" s="27"/>
      <c r="Q108" s="28"/>
      <c r="R108" s="22"/>
      <c r="S108" s="22"/>
      <c r="T108" s="20">
        <v>10.592000000000001</v>
      </c>
      <c r="U108" s="19"/>
      <c r="V108" s="19">
        <v>204675</v>
      </c>
      <c r="W108" s="19"/>
      <c r="X108" s="19">
        <f>V108</f>
        <v>204675</v>
      </c>
      <c r="Y108" s="19"/>
      <c r="Z108" s="29">
        <v>3.5379999999999998</v>
      </c>
      <c r="AA108" s="20"/>
      <c r="AB108" s="19">
        <v>51970.1</v>
      </c>
      <c r="AC108" s="20"/>
      <c r="AD108" s="19">
        <f>AB108</f>
        <v>51970.1</v>
      </c>
      <c r="AE108" s="19"/>
      <c r="AF108" s="19"/>
      <c r="AG108" s="19"/>
      <c r="AH108" s="59"/>
      <c r="AI108" s="19"/>
      <c r="AJ108" s="78"/>
      <c r="AK108" s="8"/>
      <c r="AL108" s="8"/>
    </row>
    <row r="109" spans="1:38" s="23" customFormat="1" ht="41.25" customHeight="1">
      <c r="A109" s="173" t="s">
        <v>160</v>
      </c>
      <c r="B109" s="172"/>
      <c r="C109" s="126"/>
      <c r="D109" s="122"/>
      <c r="E109" s="13">
        <f>SUM(E107:E108)</f>
        <v>22.450000000000003</v>
      </c>
      <c r="F109" s="13"/>
      <c r="G109" s="124">
        <f>SUM(G107:G108)</f>
        <v>459721.81727</v>
      </c>
      <c r="H109" s="13" t="e">
        <f>SUM(#REF!)</f>
        <v>#REF!</v>
      </c>
      <c r="I109" s="14" t="e">
        <f>SUM(#REF!)</f>
        <v>#REF!</v>
      </c>
      <c r="J109" s="14" t="e">
        <f>SUM(#REF!)</f>
        <v>#REF!</v>
      </c>
      <c r="K109" s="14"/>
      <c r="L109" s="13" t="e">
        <f>SUM(#REF!)</f>
        <v>#REF!</v>
      </c>
      <c r="M109" s="14" t="e">
        <f>SUM(#REF!)</f>
        <v>#REF!</v>
      </c>
      <c r="N109" s="14" t="e">
        <f>SUM(#REF!)</f>
        <v>#REF!</v>
      </c>
      <c r="O109" s="14" t="e">
        <f>SUM(#REF!)</f>
        <v>#REF!</v>
      </c>
      <c r="P109" s="34">
        <f>SUM(P107:P108)</f>
        <v>0</v>
      </c>
      <c r="Q109" s="14">
        <f>SUM(Q107:Q108)</f>
        <v>0</v>
      </c>
      <c r="R109" s="14">
        <f>SUM(R107:R108)</f>
        <v>0</v>
      </c>
      <c r="S109" s="124">
        <f>SUM(S107:S108)</f>
        <v>0</v>
      </c>
      <c r="T109" s="13">
        <f>SUM(T107:T108)</f>
        <v>18.911999999999999</v>
      </c>
      <c r="U109" s="124"/>
      <c r="V109" s="124">
        <f>SUM(V107:V108)</f>
        <v>407751.71727000002</v>
      </c>
      <c r="W109" s="124"/>
      <c r="X109" s="124">
        <f>SUM(X107:X108)</f>
        <v>407751.71727000002</v>
      </c>
      <c r="Y109" s="124"/>
      <c r="Z109" s="124">
        <f>SUM(Z108:Z108)</f>
        <v>3.5379999999999998</v>
      </c>
      <c r="AA109" s="13"/>
      <c r="AB109" s="124">
        <f>SUM(AB108:AB108)</f>
        <v>51970.1</v>
      </c>
      <c r="AC109" s="124">
        <f>SUM(AC108:AC108)</f>
        <v>0</v>
      </c>
      <c r="AD109" s="124">
        <f>SUM(AD107:AD108)</f>
        <v>51970.1</v>
      </c>
      <c r="AE109" s="124"/>
      <c r="AF109" s="124"/>
      <c r="AG109" s="124" t="s">
        <v>18</v>
      </c>
      <c r="AH109" s="125"/>
      <c r="AI109" s="124"/>
      <c r="AJ109" s="77"/>
      <c r="AK109" s="8"/>
      <c r="AL109" s="8"/>
    </row>
    <row r="110" spans="1:38" s="23" customFormat="1" ht="25.5" customHeight="1">
      <c r="A110" s="161" t="s">
        <v>161</v>
      </c>
      <c r="B110" s="148"/>
      <c r="C110" s="148"/>
      <c r="D110" s="148"/>
      <c r="E110" s="148"/>
      <c r="F110" s="119"/>
      <c r="G110" s="124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9"/>
      <c r="V110" s="19"/>
      <c r="W110" s="19"/>
      <c r="X110" s="19"/>
      <c r="Y110" s="19"/>
      <c r="Z110" s="19"/>
      <c r="AA110" s="17"/>
      <c r="AB110" s="19"/>
      <c r="AC110" s="19"/>
      <c r="AD110" s="19"/>
      <c r="AE110" s="19"/>
      <c r="AF110" s="19"/>
      <c r="AG110" s="19"/>
      <c r="AH110" s="59"/>
      <c r="AI110" s="19"/>
      <c r="AJ110" s="78"/>
      <c r="AK110" s="8"/>
      <c r="AL110" s="8"/>
    </row>
    <row r="111" spans="1:38" s="23" customFormat="1" ht="30" customHeight="1">
      <c r="A111" s="55">
        <v>31</v>
      </c>
      <c r="B111" s="30" t="s">
        <v>135</v>
      </c>
      <c r="C111" s="17" t="s">
        <v>16</v>
      </c>
      <c r="D111" s="17"/>
      <c r="E111" s="29">
        <v>3.23</v>
      </c>
      <c r="F111" s="119"/>
      <c r="G111" s="19">
        <v>85329.787089999998</v>
      </c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29">
        <f>E111</f>
        <v>3.23</v>
      </c>
      <c r="U111" s="19"/>
      <c r="V111" s="19">
        <f>G111</f>
        <v>85329.787089999998</v>
      </c>
      <c r="W111" s="19"/>
      <c r="X111" s="19">
        <f>V111</f>
        <v>85329.787089999998</v>
      </c>
      <c r="Y111" s="19"/>
      <c r="Z111" s="19"/>
      <c r="AA111" s="17"/>
      <c r="AB111" s="19"/>
      <c r="AC111" s="19"/>
      <c r="AD111" s="19"/>
      <c r="AE111" s="19"/>
      <c r="AF111" s="19"/>
      <c r="AG111" s="19"/>
      <c r="AH111" s="59"/>
      <c r="AI111" s="19"/>
      <c r="AJ111" s="78"/>
      <c r="AK111" s="8"/>
      <c r="AL111" s="8"/>
    </row>
    <row r="112" spans="1:38" s="23" customFormat="1" ht="27" customHeight="1">
      <c r="A112" s="56"/>
      <c r="B112" s="16" t="s">
        <v>53</v>
      </c>
      <c r="C112" s="17"/>
      <c r="D112" s="17"/>
      <c r="E112" s="29">
        <f>T112+Z112</f>
        <v>14.866</v>
      </c>
      <c r="F112" s="29"/>
      <c r="G112" s="19">
        <f>V112+AB112</f>
        <v>174458.2</v>
      </c>
      <c r="H112" s="21"/>
      <c r="I112" s="22"/>
      <c r="J112" s="22"/>
      <c r="K112" s="22"/>
      <c r="L112" s="27"/>
      <c r="M112" s="28"/>
      <c r="N112" s="22"/>
      <c r="O112" s="22"/>
      <c r="P112" s="20"/>
      <c r="Q112" s="22"/>
      <c r="R112" s="22"/>
      <c r="S112" s="22"/>
      <c r="T112" s="20">
        <v>10.202</v>
      </c>
      <c r="U112" s="19"/>
      <c r="V112" s="19">
        <v>132500</v>
      </c>
      <c r="W112" s="19"/>
      <c r="X112" s="19">
        <f>V112</f>
        <v>132500</v>
      </c>
      <c r="Y112" s="19"/>
      <c r="Z112" s="20">
        <v>4.6639999999999997</v>
      </c>
      <c r="AA112" s="97"/>
      <c r="AB112" s="19">
        <v>41958.2</v>
      </c>
      <c r="AC112" s="19"/>
      <c r="AD112" s="19">
        <f>AB112</f>
        <v>41958.2</v>
      </c>
      <c r="AE112" s="19"/>
      <c r="AF112" s="19"/>
      <c r="AG112" s="19"/>
      <c r="AH112" s="59"/>
      <c r="AI112" s="19"/>
      <c r="AJ112" s="78"/>
      <c r="AK112" s="8"/>
      <c r="AL112" s="8"/>
    </row>
    <row r="113" spans="1:39" s="23" customFormat="1" ht="38.25" customHeight="1">
      <c r="A113" s="173" t="s">
        <v>162</v>
      </c>
      <c r="B113" s="172"/>
      <c r="C113" s="126"/>
      <c r="D113" s="122"/>
      <c r="E113" s="124">
        <f>SUM(E111:E112)</f>
        <v>18.096</v>
      </c>
      <c r="F113" s="124"/>
      <c r="G113" s="124">
        <f>SUM(G111:G112)</f>
        <v>259787.98709000001</v>
      </c>
      <c r="H113" s="13" t="e">
        <f>SUM(#REF!)</f>
        <v>#REF!</v>
      </c>
      <c r="I113" s="14" t="e">
        <f>SUM(#REF!)</f>
        <v>#REF!</v>
      </c>
      <c r="J113" s="14" t="e">
        <f>SUM(#REF!)</f>
        <v>#REF!</v>
      </c>
      <c r="K113" s="14"/>
      <c r="L113" s="13" t="e">
        <f>SUM(#REF!)</f>
        <v>#REF!</v>
      </c>
      <c r="M113" s="14" t="e">
        <f>SUM(#REF!)</f>
        <v>#REF!</v>
      </c>
      <c r="N113" s="14" t="e">
        <f>SUM(#REF!)</f>
        <v>#REF!</v>
      </c>
      <c r="O113" s="14"/>
      <c r="P113" s="124" t="e">
        <f>SUM(#REF!)</f>
        <v>#REF!</v>
      </c>
      <c r="Q113" s="14" t="e">
        <f>SUM(#REF!)</f>
        <v>#REF!</v>
      </c>
      <c r="R113" s="14" t="e">
        <f>SUM(#REF!)</f>
        <v>#REF!</v>
      </c>
      <c r="S113" s="14"/>
      <c r="T113" s="124">
        <f>SUM(T111:T112)</f>
        <v>13.432</v>
      </c>
      <c r="U113" s="124"/>
      <c r="V113" s="124">
        <f>SUM(V111:V112)</f>
        <v>217829.78709</v>
      </c>
      <c r="W113" s="124">
        <f>SUM(W112:W112)</f>
        <v>0</v>
      </c>
      <c r="X113" s="124">
        <f>SUM(X111:X112)</f>
        <v>217829.78709</v>
      </c>
      <c r="Y113" s="124"/>
      <c r="Z113" s="124">
        <f>SUM(Z111:Z112)</f>
        <v>4.6639999999999997</v>
      </c>
      <c r="AA113" s="124"/>
      <c r="AB113" s="124">
        <f>SUM(AB111:AB112)</f>
        <v>41958.2</v>
      </c>
      <c r="AC113" s="124">
        <f>SUM(AC111:AC112)</f>
        <v>0</v>
      </c>
      <c r="AD113" s="124">
        <f>SUM(AD111:AD112)</f>
        <v>41958.2</v>
      </c>
      <c r="AE113" s="124"/>
      <c r="AF113" s="124"/>
      <c r="AG113" s="124"/>
      <c r="AH113" s="125"/>
      <c r="AI113" s="124"/>
      <c r="AJ113" s="77"/>
      <c r="AK113" s="8"/>
      <c r="AL113" s="8"/>
    </row>
    <row r="114" spans="1:39" s="23" customFormat="1" ht="27" hidden="1" customHeight="1">
      <c r="A114" s="121"/>
      <c r="B114" s="87" t="s">
        <v>61</v>
      </c>
      <c r="C114" s="32"/>
      <c r="D114" s="32"/>
      <c r="E114" s="21"/>
      <c r="F114" s="21"/>
      <c r="G114" s="19"/>
      <c r="H114" s="19"/>
      <c r="I114" s="22"/>
      <c r="J114" s="22"/>
      <c r="K114" s="22"/>
      <c r="L114" s="35"/>
      <c r="M114" s="22"/>
      <c r="N114" s="22"/>
      <c r="O114" s="22"/>
      <c r="P114" s="19"/>
      <c r="Q114" s="22"/>
      <c r="R114" s="22"/>
      <c r="S114" s="22"/>
      <c r="T114" s="20"/>
      <c r="U114" s="24"/>
      <c r="V114" s="19"/>
      <c r="W114" s="19"/>
      <c r="X114" s="19"/>
      <c r="Y114" s="19"/>
      <c r="Z114" s="22"/>
      <c r="AA114" s="19"/>
      <c r="AB114" s="24"/>
      <c r="AC114" s="24"/>
      <c r="AD114" s="24"/>
      <c r="AE114" s="24"/>
      <c r="AF114" s="24"/>
      <c r="AG114" s="22"/>
      <c r="AH114" s="60"/>
      <c r="AI114" s="22"/>
      <c r="AJ114" s="79"/>
    </row>
    <row r="115" spans="1:39" s="23" customFormat="1" ht="29.25" hidden="1" customHeight="1">
      <c r="A115" s="121"/>
      <c r="B115" s="16" t="s">
        <v>53</v>
      </c>
      <c r="C115" s="32"/>
      <c r="D115" s="32"/>
      <c r="E115" s="29"/>
      <c r="F115" s="29"/>
      <c r="G115" s="19"/>
      <c r="H115" s="19"/>
      <c r="I115" s="22"/>
      <c r="J115" s="22"/>
      <c r="K115" s="22"/>
      <c r="L115" s="35"/>
      <c r="M115" s="22"/>
      <c r="N115" s="22"/>
      <c r="O115" s="22"/>
      <c r="P115" s="19"/>
      <c r="Q115" s="22"/>
      <c r="R115" s="22"/>
      <c r="S115" s="22"/>
      <c r="T115" s="20"/>
      <c r="U115" s="24"/>
      <c r="V115" s="19"/>
      <c r="W115" s="19"/>
      <c r="X115" s="19"/>
      <c r="Y115" s="19"/>
      <c r="Z115" s="22"/>
      <c r="AA115" s="19"/>
      <c r="AB115" s="24"/>
      <c r="AC115" s="24"/>
      <c r="AD115" s="24"/>
      <c r="AE115" s="24"/>
      <c r="AF115" s="24"/>
      <c r="AG115" s="22"/>
      <c r="AH115" s="60"/>
      <c r="AI115" s="22"/>
      <c r="AJ115" s="79"/>
    </row>
    <row r="116" spans="1:39" s="23" customFormat="1" ht="34.5" hidden="1" customHeight="1">
      <c r="A116" s="159" t="s">
        <v>122</v>
      </c>
      <c r="B116" s="160"/>
      <c r="C116" s="160"/>
      <c r="D116" s="32"/>
      <c r="E116" s="47">
        <f>SUM(E115)</f>
        <v>0</v>
      </c>
      <c r="F116" s="47"/>
      <c r="G116" s="124">
        <f>SUM(G115)</f>
        <v>0</v>
      </c>
      <c r="H116" s="19"/>
      <c r="I116" s="22"/>
      <c r="J116" s="22"/>
      <c r="K116" s="22"/>
      <c r="L116" s="35"/>
      <c r="M116" s="22"/>
      <c r="N116" s="22"/>
      <c r="O116" s="22"/>
      <c r="P116" s="19"/>
      <c r="Q116" s="22"/>
      <c r="R116" s="22"/>
      <c r="S116" s="22"/>
      <c r="T116" s="48">
        <f>SUM(T115)</f>
        <v>0</v>
      </c>
      <c r="U116" s="47"/>
      <c r="V116" s="124">
        <f>SUM(V115)</f>
        <v>0</v>
      </c>
      <c r="W116" s="24"/>
      <c r="X116" s="124">
        <f>SUM(X115)</f>
        <v>0</v>
      </c>
      <c r="Y116" s="124"/>
      <c r="Z116" s="22"/>
      <c r="AA116" s="19"/>
      <c r="AB116" s="24"/>
      <c r="AC116" s="24"/>
      <c r="AD116" s="24"/>
      <c r="AE116" s="24"/>
      <c r="AF116" s="24"/>
      <c r="AG116" s="22"/>
      <c r="AH116" s="60"/>
      <c r="AI116" s="22"/>
      <c r="AJ116" s="79"/>
    </row>
    <row r="117" spans="1:39" s="23" customFormat="1" ht="25.5" customHeight="1">
      <c r="A117" s="121"/>
      <c r="B117" s="16" t="s">
        <v>62</v>
      </c>
      <c r="C117" s="32"/>
      <c r="D117" s="32"/>
      <c r="E117" s="21"/>
      <c r="F117" s="21"/>
      <c r="G117" s="19">
        <f>V117+AB117</f>
        <v>32874.652093599783</v>
      </c>
      <c r="H117" s="19"/>
      <c r="I117" s="22"/>
      <c r="J117" s="22"/>
      <c r="K117" s="22"/>
      <c r="L117" s="35"/>
      <c r="M117" s="22"/>
      <c r="N117" s="22"/>
      <c r="O117" s="22"/>
      <c r="P117" s="19"/>
      <c r="Q117" s="22"/>
      <c r="R117" s="22"/>
      <c r="S117" s="22"/>
      <c r="T117" s="20"/>
      <c r="U117" s="24"/>
      <c r="V117" s="19">
        <f>W117+X117</f>
        <v>3.1999999999534339</v>
      </c>
      <c r="W117" s="19">
        <f>1756093.2-1756090</f>
        <v>3.1999999999534339</v>
      </c>
      <c r="X117" s="19"/>
      <c r="Y117" s="19"/>
      <c r="Z117" s="22"/>
      <c r="AA117" s="19"/>
      <c r="AB117" s="19">
        <v>32871.45209359983</v>
      </c>
      <c r="AC117" s="19">
        <v>31556.592499855837</v>
      </c>
      <c r="AD117" s="19">
        <f>AB117-AC117</f>
        <v>1314.8595937439932</v>
      </c>
      <c r="AE117" s="24"/>
      <c r="AF117" s="24"/>
      <c r="AG117" s="22"/>
      <c r="AH117" s="60"/>
      <c r="AI117" s="22"/>
      <c r="AJ117" s="79"/>
    </row>
    <row r="118" spans="1:39" s="36" customFormat="1" ht="39.75" hidden="1" customHeight="1">
      <c r="A118" s="53"/>
      <c r="B118" s="162" t="s">
        <v>114</v>
      </c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69"/>
      <c r="AJ118" s="92"/>
    </row>
    <row r="119" spans="1:39" s="36" customFormat="1" ht="48" customHeight="1">
      <c r="A119" s="53">
        <v>3</v>
      </c>
      <c r="B119" s="96" t="s">
        <v>115</v>
      </c>
      <c r="C119" s="93"/>
      <c r="D119" s="69"/>
      <c r="E119" s="69"/>
      <c r="F119" s="98">
        <f>F128+F130+F131+F133+F134+F136+F137+F138+F142+F143+F145+F147+F149+F150+F152+F154+F156+F157+F158+F159+F160+F161+F163+F165</f>
        <v>1552.3200000000004</v>
      </c>
      <c r="G119" s="98">
        <f>G128+G130+G131+G133+G134+G136+G137+G138+G142+G143+G145+G147+G149+G150+G152+G154+G156+G157+G158+G159+G160+G161+G163+G165</f>
        <v>1731706.90576</v>
      </c>
      <c r="H119" s="98" t="e">
        <f>H128+#REF!+H136+H137+H149+H156+H157+H158+H159+H160+H163+H165</f>
        <v>#REF!</v>
      </c>
      <c r="I119" s="98" t="e">
        <f>I128+#REF!+I136+I137+I149+I156+I157+I158+I159+I160+I163+I165</f>
        <v>#REF!</v>
      </c>
      <c r="J119" s="98" t="e">
        <f>J128+#REF!+J136+J137+J149+J156+J157+J158+J159+J160+J163+J165</f>
        <v>#REF!</v>
      </c>
      <c r="K119" s="98" t="e">
        <f>K128+#REF!+K136+K137+K149+K156+K157+K158+K159+K160+K163+K165</f>
        <v>#REF!</v>
      </c>
      <c r="L119" s="98" t="e">
        <f>L128+#REF!+L136+L137+L149+L156+L157+L158+L159+L160+L163+L165</f>
        <v>#REF!</v>
      </c>
      <c r="M119" s="98" t="e">
        <f>M128+#REF!+M136+M137+M149+M156+M157+M158+M159+M160+M163+M165</f>
        <v>#REF!</v>
      </c>
      <c r="N119" s="98" t="e">
        <f>N128+#REF!+N136+N137+N149+N156+N157+N158+N159+N160+N163+N165</f>
        <v>#REF!</v>
      </c>
      <c r="O119" s="98" t="e">
        <f>O128+#REF!+O136+O137+O149+O156+O157+O158+O159+O160+O163+O165</f>
        <v>#REF!</v>
      </c>
      <c r="P119" s="98" t="e">
        <f>P128+#REF!+P136+P137+P149+P156+P157+P158+P159+P160+P163+P165</f>
        <v>#REF!</v>
      </c>
      <c r="Q119" s="98" t="e">
        <f>Q128+#REF!+Q136+Q137+Q149+Q156+Q157+Q158+Q159+Q160+Q163+Q165</f>
        <v>#REF!</v>
      </c>
      <c r="R119" s="98" t="e">
        <f>R128+#REF!+R136+R137+R149+R156+R157+R158+R159+R160+R163+R165</f>
        <v>#REF!</v>
      </c>
      <c r="S119" s="98" t="e">
        <f>S128+#REF!+S136+S137+S149+S156+S157+S158+S159+S160+S163+S165</f>
        <v>#REF!</v>
      </c>
      <c r="T119" s="98"/>
      <c r="U119" s="98">
        <f>U136+U137+U149+U156+U157+U158+U159+U160+U163+U165</f>
        <v>833.83999999999992</v>
      </c>
      <c r="V119" s="98">
        <f>V136+V137+V149+V156+V157+V158+V159+V160+V163+V165</f>
        <v>607412.76812000002</v>
      </c>
      <c r="W119" s="98"/>
      <c r="X119" s="98">
        <f>X136+X137+X149+X156+X157+X158+X159+X160+X163+X165+0.01</f>
        <v>587479.4347499999</v>
      </c>
      <c r="Y119" s="98">
        <f>Y136+Y137+Y149+Y156+Y157+Y158+Y159+Y160+Y163+Y165</f>
        <v>19933.343369999999</v>
      </c>
      <c r="Z119" s="98"/>
      <c r="AA119" s="98">
        <f>AA121+AA124</f>
        <v>787.68000000000006</v>
      </c>
      <c r="AB119" s="98">
        <f>AB121+AB124</f>
        <v>953041.61400000006</v>
      </c>
      <c r="AC119" s="98"/>
      <c r="AD119" s="98">
        <f>AD121+AD124</f>
        <v>925441.21716</v>
      </c>
      <c r="AE119" s="98">
        <f t="shared" ref="AE119" si="28">AE128+AE133+AE134+AE138+AE142+AE145+AE147+AE150+AE152+AE154</f>
        <v>27600.396840000001</v>
      </c>
      <c r="AF119" s="69"/>
      <c r="AG119" s="69"/>
      <c r="AH119" s="99"/>
      <c r="AI119" s="93"/>
      <c r="AJ119" s="100"/>
      <c r="AK119" s="114">
        <f>AB119+V119</f>
        <v>1560454.3821200002</v>
      </c>
      <c r="AL119" s="114">
        <f>G119-AK119</f>
        <v>171252.5236399998</v>
      </c>
    </row>
    <row r="120" spans="1:39" s="36" customFormat="1" ht="30" customHeight="1">
      <c r="A120" s="53"/>
      <c r="B120" s="101" t="s">
        <v>11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93"/>
      <c r="AE120" s="69"/>
      <c r="AF120" s="69"/>
      <c r="AG120" s="69"/>
      <c r="AH120" s="123"/>
      <c r="AI120" s="69"/>
      <c r="AJ120" s="92"/>
    </row>
    <row r="121" spans="1:39" s="36" customFormat="1" ht="32.25" customHeight="1">
      <c r="A121" s="53"/>
      <c r="B121" s="96" t="s">
        <v>123</v>
      </c>
      <c r="C121" s="93"/>
      <c r="D121" s="69"/>
      <c r="E121" s="69"/>
      <c r="F121" s="98">
        <f>F130+F131+F137+F133+F134+F138+F140+F142+F143+F145+F147+F149+F150+F154+F157+F158+F159+F160+F161+F163</f>
        <v>1063.21</v>
      </c>
      <c r="G121" s="98">
        <f>G130+G131+G137+G133+G134+G138+G140+G142+G143+G145+G147+G149+G150+G154+G157+G158+G159+G160+G161+G163</f>
        <v>913482.96582000027</v>
      </c>
      <c r="H121" s="98" t="e">
        <f>#REF!+H137+H149+H157+H158+H159+H160+H163</f>
        <v>#REF!</v>
      </c>
      <c r="I121" s="98" t="e">
        <f>#REF!+I137+I149+I157+I158+I159+I160+I163</f>
        <v>#REF!</v>
      </c>
      <c r="J121" s="98" t="e">
        <f>#REF!+J137+J149+J157+J158+J159+J160+J163</f>
        <v>#REF!</v>
      </c>
      <c r="K121" s="98" t="e">
        <f>#REF!+K137+K149+K157+K158+K159+K160+K163</f>
        <v>#REF!</v>
      </c>
      <c r="L121" s="98" t="e">
        <f>#REF!+L137+L149+L157+L158+L159+L160+L163</f>
        <v>#REF!</v>
      </c>
      <c r="M121" s="98" t="e">
        <f>#REF!+M137+M149+M157+M158+M159+M160+M163</f>
        <v>#REF!</v>
      </c>
      <c r="N121" s="98" t="e">
        <f>#REF!+N137+N149+N157+N158+N159+N160+N163</f>
        <v>#REF!</v>
      </c>
      <c r="O121" s="98" t="e">
        <f>#REF!+O137+O149+O157+O158+O159+O160+O163</f>
        <v>#REF!</v>
      </c>
      <c r="P121" s="98" t="e">
        <f>#REF!+P137+P149+P157+P158+P159+P160+P163</f>
        <v>#REF!</v>
      </c>
      <c r="Q121" s="98" t="e">
        <f>#REF!+Q137+Q149+Q157+Q158+Q159+Q160+Q163</f>
        <v>#REF!</v>
      </c>
      <c r="R121" s="98" t="e">
        <f>#REF!+R137+R149+R157+R158+R159+R160+R163</f>
        <v>#REF!</v>
      </c>
      <c r="S121" s="98" t="e">
        <f>#REF!+S137+S149+S157+S158+S159+S160+S163</f>
        <v>#REF!</v>
      </c>
      <c r="T121" s="98"/>
      <c r="U121" s="98">
        <f>U137+U149+U157+U158+U159+U160+U163</f>
        <v>565.01</v>
      </c>
      <c r="V121" s="98">
        <f>V137+V149+V157+V158+V159+V160+V163+0.01</f>
        <v>303535.95526999998</v>
      </c>
      <c r="W121" s="98"/>
      <c r="X121" s="98">
        <f>X137+X149+X157+X158+X159+X160+X163+0.01</f>
        <v>303535.95526999998</v>
      </c>
      <c r="Y121" s="98"/>
      <c r="Z121" s="98"/>
      <c r="AA121" s="98">
        <f>AA133+AA134+AA138+AA140+AA142+AA145+AA147+AA150+AA154</f>
        <v>498.2</v>
      </c>
      <c r="AB121" s="98">
        <f>AB133+AB134+AB138+AB140+AB142+AB145+AB147+AB150+AB154</f>
        <v>493035</v>
      </c>
      <c r="AC121" s="98"/>
      <c r="AD121" s="98">
        <f>AD133+AD134+AD138+AD140+AD142+AD145+AD147+AD150+AD154</f>
        <v>493035</v>
      </c>
      <c r="AE121" s="98"/>
      <c r="AF121" s="69"/>
      <c r="AG121" s="69"/>
      <c r="AH121" s="99"/>
      <c r="AI121" s="69"/>
      <c r="AJ121" s="92"/>
      <c r="AK121" s="114">
        <f>AB121+V121</f>
        <v>796570.95527000003</v>
      </c>
      <c r="AL121" s="114">
        <f>G121-AK121</f>
        <v>116912.01055000024</v>
      </c>
      <c r="AM121" s="36" t="s">
        <v>149</v>
      </c>
    </row>
    <row r="122" spans="1:39" s="36" customFormat="1" ht="38.25" customHeight="1">
      <c r="A122" s="53"/>
      <c r="B122" s="101" t="s">
        <v>96</v>
      </c>
      <c r="C122" s="69"/>
      <c r="D122" s="69"/>
      <c r="E122" s="69"/>
      <c r="F122" s="102">
        <f>F133+F142</f>
        <v>144.69999999999999</v>
      </c>
      <c r="G122" s="102">
        <f>G133+G142</f>
        <v>351900.64111999999</v>
      </c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102"/>
      <c r="V122" s="102"/>
      <c r="W122" s="98"/>
      <c r="X122" s="98"/>
      <c r="Y122" s="98"/>
      <c r="Z122" s="98"/>
      <c r="AA122" s="102">
        <f>AA133+AA142</f>
        <v>144.69999999999999</v>
      </c>
      <c r="AB122" s="102">
        <f>AB133+AB142</f>
        <v>351900.64111999999</v>
      </c>
      <c r="AC122" s="98"/>
      <c r="AD122" s="102">
        <f>AD133+AD142</f>
        <v>351900.64111999999</v>
      </c>
      <c r="AE122" s="102"/>
      <c r="AF122" s="69"/>
      <c r="AG122" s="69"/>
      <c r="AH122" s="123"/>
      <c r="AI122" s="69"/>
      <c r="AJ122" s="92"/>
    </row>
    <row r="123" spans="1:39" s="36" customFormat="1" ht="27.75" customHeight="1">
      <c r="A123" s="53"/>
      <c r="B123" s="101" t="s">
        <v>97</v>
      </c>
      <c r="C123" s="93"/>
      <c r="D123" s="69"/>
      <c r="E123" s="69"/>
      <c r="F123" s="102">
        <f>F121-F122</f>
        <v>918.51</v>
      </c>
      <c r="G123" s="102">
        <f>G121-G122</f>
        <v>561582.32470000023</v>
      </c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102">
        <f>U121-U122</f>
        <v>565.01</v>
      </c>
      <c r="V123" s="102">
        <f>V121-V122</f>
        <v>303535.95526999998</v>
      </c>
      <c r="W123" s="98"/>
      <c r="X123" s="102">
        <f>X121-X122</f>
        <v>303535.95526999998</v>
      </c>
      <c r="Y123" s="98"/>
      <c r="Z123" s="98"/>
      <c r="AA123" s="102">
        <f>AA121-AA122</f>
        <v>353.5</v>
      </c>
      <c r="AB123" s="102">
        <f>AB121-AB122</f>
        <v>141134.35888000001</v>
      </c>
      <c r="AC123" s="98"/>
      <c r="AD123" s="102">
        <f>AD121-AD122</f>
        <v>141134.35888000001</v>
      </c>
      <c r="AE123" s="98"/>
      <c r="AF123" s="69"/>
      <c r="AG123" s="69"/>
      <c r="AH123" s="99"/>
      <c r="AI123" s="69"/>
      <c r="AJ123" s="92"/>
    </row>
    <row r="124" spans="1:39" s="36" customFormat="1" ht="30" customHeight="1">
      <c r="A124" s="53"/>
      <c r="B124" s="96" t="s">
        <v>124</v>
      </c>
      <c r="C124" s="93"/>
      <c r="D124" s="69"/>
      <c r="E124" s="69"/>
      <c r="F124" s="98">
        <f>F128+F136+F152+F156+F165</f>
        <v>558.30999999999995</v>
      </c>
      <c r="G124" s="98">
        <f>G128+G136+G152+G156+G165</f>
        <v>857696.03685000003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98">
        <f>U136+U156+U165</f>
        <v>268.83000000000004</v>
      </c>
      <c r="V124" s="98">
        <f>V136+V156+V165</f>
        <v>303876.82285</v>
      </c>
      <c r="W124" s="98"/>
      <c r="X124" s="98">
        <f>X136+X156+X165</f>
        <v>283943.47947999998</v>
      </c>
      <c r="Y124" s="98">
        <f>Y136+Y156+Y165</f>
        <v>19933.343369999999</v>
      </c>
      <c r="Z124" s="69"/>
      <c r="AA124" s="98">
        <f>AA128+AA152</f>
        <v>289.48</v>
      </c>
      <c r="AB124" s="98">
        <f>AB128+AB152</f>
        <v>460006.614</v>
      </c>
      <c r="AC124" s="98"/>
      <c r="AD124" s="98">
        <f>AD128+AD152</f>
        <v>432406.21716</v>
      </c>
      <c r="AE124" s="98">
        <f>SUM(AE128:AE165)</f>
        <v>27600.396840000001</v>
      </c>
      <c r="AF124" s="69"/>
      <c r="AG124" s="93"/>
      <c r="AH124" s="123"/>
      <c r="AI124" s="69"/>
      <c r="AJ124" s="92"/>
      <c r="AK124" s="114">
        <f>AB124+V124</f>
        <v>763883.43684999994</v>
      </c>
      <c r="AL124" s="114">
        <f>G124-AK124</f>
        <v>93812.600000000093</v>
      </c>
      <c r="AM124" s="36" t="s">
        <v>149</v>
      </c>
    </row>
    <row r="125" spans="1:39" s="36" customFormat="1" ht="28.5" customHeight="1">
      <c r="A125" s="53"/>
      <c r="B125" s="101" t="s">
        <v>96</v>
      </c>
      <c r="C125" s="93"/>
      <c r="D125" s="69"/>
      <c r="E125" s="93"/>
      <c r="F125" s="102">
        <f>F136+ F152</f>
        <v>336.96000000000004</v>
      </c>
      <c r="G125" s="102">
        <f>G136+ G152</f>
        <v>521559.9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2">
        <f>U136</f>
        <v>120.68</v>
      </c>
      <c r="V125" s="102">
        <f>V136</f>
        <v>105208.8</v>
      </c>
      <c r="W125" s="98"/>
      <c r="X125" s="102">
        <f t="shared" ref="X125:Y125" si="29">X136</f>
        <v>98896.3</v>
      </c>
      <c r="Y125" s="102">
        <f t="shared" si="29"/>
        <v>6312.5</v>
      </c>
      <c r="Z125" s="69"/>
      <c r="AA125" s="102">
        <f>AA136+ AA152</f>
        <v>216.28</v>
      </c>
      <c r="AB125" s="102">
        <f>AB136+ AB152</f>
        <v>375000</v>
      </c>
      <c r="AC125" s="98"/>
      <c r="AD125" s="102">
        <f t="shared" ref="AD125:AE125" si="30">AD136+ AD152</f>
        <v>352500</v>
      </c>
      <c r="AE125" s="102">
        <f t="shared" si="30"/>
        <v>22500</v>
      </c>
      <c r="AF125" s="69"/>
      <c r="AG125" s="93"/>
      <c r="AH125" s="123"/>
      <c r="AI125" s="69"/>
      <c r="AJ125" s="92"/>
      <c r="AK125" s="114">
        <f t="shared" ref="AK125:AK126" si="31">AB125+V125</f>
        <v>480208.8</v>
      </c>
      <c r="AL125" s="114">
        <f t="shared" ref="AL125:AL126" si="32">G125-AK125</f>
        <v>41351.100000000035</v>
      </c>
    </row>
    <row r="126" spans="1:39" s="36" customFormat="1" ht="30" customHeight="1">
      <c r="A126" s="53"/>
      <c r="B126" s="101" t="s">
        <v>97</v>
      </c>
      <c r="C126" s="93"/>
      <c r="D126" s="69"/>
      <c r="E126" s="93"/>
      <c r="F126" s="102">
        <f>F124-F125</f>
        <v>221.34999999999991</v>
      </c>
      <c r="G126" s="102">
        <f>G124-G125</f>
        <v>336136.13685000001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2">
        <f>U124-U125</f>
        <v>148.15000000000003</v>
      </c>
      <c r="V126" s="102">
        <f>V124-V125</f>
        <v>198668.02285000001</v>
      </c>
      <c r="W126" s="98"/>
      <c r="X126" s="102">
        <f t="shared" ref="X126:Y126" si="33">X124-X125</f>
        <v>185047.17947999999</v>
      </c>
      <c r="Y126" s="102">
        <f t="shared" si="33"/>
        <v>13620.843369999999</v>
      </c>
      <c r="Z126" s="69"/>
      <c r="AA126" s="102">
        <f>AA124-AA125</f>
        <v>73.200000000000017</v>
      </c>
      <c r="AB126" s="102">
        <f>AB124-AB125</f>
        <v>85006.614000000001</v>
      </c>
      <c r="AC126" s="98"/>
      <c r="AD126" s="102">
        <f t="shared" ref="AD126:AE126" si="34">AD124-AD125</f>
        <v>79906.21716</v>
      </c>
      <c r="AE126" s="102">
        <f t="shared" si="34"/>
        <v>5100.3968400000012</v>
      </c>
      <c r="AF126" s="69"/>
      <c r="AG126" s="93"/>
      <c r="AH126" s="123"/>
      <c r="AI126" s="69"/>
      <c r="AJ126" s="92"/>
      <c r="AK126" s="114">
        <f t="shared" si="31"/>
        <v>283674.63685000001</v>
      </c>
      <c r="AL126" s="114">
        <f t="shared" si="32"/>
        <v>52461.5</v>
      </c>
    </row>
    <row r="127" spans="1:39" s="36" customFormat="1" ht="28.5" customHeight="1">
      <c r="A127" s="167" t="s">
        <v>153</v>
      </c>
      <c r="B127" s="168"/>
      <c r="C127" s="69"/>
      <c r="D127" s="69"/>
      <c r="E127" s="69"/>
      <c r="F127" s="69"/>
      <c r="G127" s="124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124"/>
      <c r="W127" s="124"/>
      <c r="X127" s="124"/>
      <c r="Y127" s="124"/>
      <c r="Z127" s="69"/>
      <c r="AA127" s="14"/>
      <c r="AB127" s="124"/>
      <c r="AC127" s="124"/>
      <c r="AD127" s="124"/>
      <c r="AE127" s="124"/>
      <c r="AF127" s="69"/>
      <c r="AG127" s="69"/>
      <c r="AH127" s="123"/>
      <c r="AI127" s="69"/>
      <c r="AJ127" s="92"/>
    </row>
    <row r="128" spans="1:39" s="36" customFormat="1" ht="90.75" customHeight="1">
      <c r="A128" s="55">
        <v>1</v>
      </c>
      <c r="B128" s="26" t="s">
        <v>148</v>
      </c>
      <c r="C128" s="69"/>
      <c r="D128" s="69"/>
      <c r="E128" s="69"/>
      <c r="F128" s="19">
        <v>73.2</v>
      </c>
      <c r="G128" s="19">
        <v>85006.614000000001</v>
      </c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124"/>
      <c r="W128" s="124"/>
      <c r="X128" s="124"/>
      <c r="Y128" s="124"/>
      <c r="Z128" s="69"/>
      <c r="AA128" s="19">
        <f>F128</f>
        <v>73.2</v>
      </c>
      <c r="AB128" s="19">
        <v>85006.614000000001</v>
      </c>
      <c r="AC128" s="124"/>
      <c r="AD128" s="19">
        <f>AB128-AE128</f>
        <v>79906.21716</v>
      </c>
      <c r="AE128" s="19">
        <f>AB128*0.06</f>
        <v>5100.3968400000003</v>
      </c>
      <c r="AF128" s="69"/>
      <c r="AG128" s="69"/>
      <c r="AH128" s="123"/>
      <c r="AI128" s="69"/>
      <c r="AJ128" s="92"/>
    </row>
    <row r="129" spans="1:36" s="36" customFormat="1" ht="37.5" hidden="1" customHeight="1">
      <c r="A129" s="167" t="s">
        <v>17</v>
      </c>
      <c r="B129" s="168"/>
      <c r="C129" s="69"/>
      <c r="D129" s="69"/>
      <c r="E129" s="69"/>
      <c r="F129" s="69"/>
      <c r="G129" s="124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124"/>
      <c r="W129" s="124"/>
      <c r="X129" s="124"/>
      <c r="Y129" s="124"/>
      <c r="Z129" s="69"/>
      <c r="AA129" s="14"/>
      <c r="AB129" s="124"/>
      <c r="AC129" s="124"/>
      <c r="AD129" s="124"/>
      <c r="AE129" s="124"/>
      <c r="AF129" s="69"/>
      <c r="AG129" s="69"/>
      <c r="AH129" s="123"/>
      <c r="AI129" s="69"/>
      <c r="AJ129" s="92"/>
    </row>
    <row r="130" spans="1:36" s="36" customFormat="1" ht="63.75" hidden="1" customHeight="1">
      <c r="A130" s="55">
        <v>2</v>
      </c>
      <c r="B130" s="26" t="s">
        <v>88</v>
      </c>
      <c r="C130" s="69"/>
      <c r="D130" s="69"/>
      <c r="E130" s="69"/>
      <c r="F130" s="19"/>
      <c r="G130" s="1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124" t="s">
        <v>68</v>
      </c>
      <c r="W130" s="124" t="s">
        <v>18</v>
      </c>
      <c r="X130" s="124"/>
      <c r="Y130" s="124"/>
      <c r="Z130" s="69"/>
      <c r="AA130" s="19"/>
      <c r="AB130" s="19"/>
      <c r="AC130" s="124"/>
      <c r="AD130" s="19"/>
      <c r="AE130" s="124"/>
      <c r="AF130" s="69"/>
      <c r="AG130" s="69"/>
      <c r="AH130" s="123"/>
      <c r="AI130" s="69"/>
      <c r="AJ130" s="92"/>
    </row>
    <row r="131" spans="1:36" s="36" customFormat="1" ht="72.75" hidden="1" customHeight="1">
      <c r="A131" s="55">
        <v>3</v>
      </c>
      <c r="B131" s="26" t="s">
        <v>71</v>
      </c>
      <c r="C131" s="69"/>
      <c r="D131" s="69"/>
      <c r="E131" s="69"/>
      <c r="F131" s="19"/>
      <c r="G131" s="1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124" t="s">
        <v>0</v>
      </c>
      <c r="W131" s="124"/>
      <c r="X131" s="124"/>
      <c r="Y131" s="124"/>
      <c r="Z131" s="69"/>
      <c r="AA131" s="19"/>
      <c r="AB131" s="19"/>
      <c r="AC131" s="124"/>
      <c r="AD131" s="19"/>
      <c r="AE131" s="124"/>
      <c r="AF131" s="69"/>
      <c r="AG131" s="69"/>
      <c r="AH131" s="123"/>
      <c r="AI131" s="69"/>
      <c r="AJ131" s="92"/>
    </row>
    <row r="132" spans="1:36" s="36" customFormat="1" ht="38.25" customHeight="1">
      <c r="A132" s="167" t="s">
        <v>21</v>
      </c>
      <c r="B132" s="168"/>
      <c r="C132" s="69"/>
      <c r="D132" s="69"/>
      <c r="E132" s="69"/>
      <c r="F132" s="69"/>
      <c r="G132" s="124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124"/>
      <c r="W132" s="124"/>
      <c r="X132" s="124"/>
      <c r="Y132" s="124"/>
      <c r="Z132" s="69"/>
      <c r="AA132" s="14"/>
      <c r="AB132" s="124"/>
      <c r="AC132" s="124"/>
      <c r="AD132" s="124"/>
      <c r="AE132" s="124"/>
      <c r="AF132" s="69"/>
      <c r="AG132" s="69"/>
      <c r="AH132" s="123"/>
      <c r="AI132" s="69"/>
      <c r="AJ132" s="92"/>
    </row>
    <row r="133" spans="1:36" s="36" customFormat="1" ht="66.75" customHeight="1">
      <c r="A133" s="55">
        <v>2</v>
      </c>
      <c r="B133" s="26" t="s">
        <v>138</v>
      </c>
      <c r="C133" s="69"/>
      <c r="D133" s="69"/>
      <c r="E133" s="69"/>
      <c r="F133" s="19">
        <v>73.8</v>
      </c>
      <c r="G133" s="19">
        <v>126467.16959999999</v>
      </c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124"/>
      <c r="W133" s="124"/>
      <c r="X133" s="124"/>
      <c r="Y133" s="124"/>
      <c r="Z133" s="69"/>
      <c r="AA133" s="19">
        <f>F133</f>
        <v>73.8</v>
      </c>
      <c r="AB133" s="19">
        <f>G133</f>
        <v>126467.16959999999</v>
      </c>
      <c r="AC133" s="124"/>
      <c r="AD133" s="19">
        <f>AB133</f>
        <v>126467.16959999999</v>
      </c>
      <c r="AE133" s="124"/>
      <c r="AF133" s="69"/>
      <c r="AG133" s="69"/>
      <c r="AH133" s="123"/>
      <c r="AI133" s="69"/>
      <c r="AJ133" s="92"/>
    </row>
    <row r="134" spans="1:36" s="36" customFormat="1" ht="52.5" customHeight="1">
      <c r="A134" s="70">
        <v>3</v>
      </c>
      <c r="B134" s="26" t="s">
        <v>136</v>
      </c>
      <c r="C134" s="69"/>
      <c r="D134" s="69"/>
      <c r="E134" s="69"/>
      <c r="F134" s="19">
        <v>45.4</v>
      </c>
      <c r="G134" s="19">
        <f>19500-2239.9815</f>
        <v>17260.018499999998</v>
      </c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124"/>
      <c r="W134" s="124"/>
      <c r="X134" s="124"/>
      <c r="Y134" s="124"/>
      <c r="Z134" s="69"/>
      <c r="AA134" s="19">
        <f>F134</f>
        <v>45.4</v>
      </c>
      <c r="AB134" s="19">
        <f>G134</f>
        <v>17260.018499999998</v>
      </c>
      <c r="AC134" s="124"/>
      <c r="AD134" s="19">
        <f>AB134</f>
        <v>17260.018499999998</v>
      </c>
      <c r="AE134" s="124"/>
      <c r="AF134" s="69"/>
      <c r="AG134" s="69"/>
      <c r="AH134" s="123"/>
      <c r="AI134" s="69"/>
      <c r="AJ134" s="92"/>
    </row>
    <row r="135" spans="1:36" s="36" customFormat="1" ht="32.25" customHeight="1">
      <c r="A135" s="167" t="s">
        <v>155</v>
      </c>
      <c r="B135" s="168"/>
      <c r="C135" s="45"/>
      <c r="D135" s="45"/>
      <c r="E135" s="45"/>
      <c r="F135" s="45"/>
      <c r="G135" s="45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24"/>
      <c r="U135" s="31"/>
      <c r="V135" s="124"/>
      <c r="W135" s="124"/>
      <c r="X135" s="124"/>
      <c r="Y135" s="124"/>
      <c r="Z135" s="14"/>
      <c r="AA135" s="14"/>
      <c r="AB135" s="14"/>
      <c r="AC135" s="14"/>
      <c r="AD135" s="14"/>
      <c r="AE135" s="14"/>
      <c r="AF135" s="14"/>
      <c r="AG135" s="14"/>
      <c r="AH135" s="61"/>
      <c r="AI135" s="14"/>
      <c r="AJ135" s="80"/>
    </row>
    <row r="136" spans="1:36" s="36" customFormat="1" ht="65.25" customHeight="1">
      <c r="A136" s="55">
        <v>4</v>
      </c>
      <c r="B136" s="26" t="s">
        <v>72</v>
      </c>
      <c r="C136" s="17"/>
      <c r="D136" s="45"/>
      <c r="E136" s="45"/>
      <c r="F136" s="19">
        <v>120.68</v>
      </c>
      <c r="G136" s="19">
        <v>146559.9</v>
      </c>
      <c r="H136" s="14">
        <v>146559.9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24"/>
      <c r="U136" s="19">
        <f>F136</f>
        <v>120.68</v>
      </c>
      <c r="V136" s="19">
        <f>X136+Y136</f>
        <v>105208.8</v>
      </c>
      <c r="W136" s="19"/>
      <c r="X136" s="49">
        <v>98896.3</v>
      </c>
      <c r="Y136" s="49">
        <v>6312.5</v>
      </c>
      <c r="Z136" s="14"/>
      <c r="AA136" s="14"/>
      <c r="AB136" s="14"/>
      <c r="AC136" s="14"/>
      <c r="AD136" s="14"/>
      <c r="AE136" s="14"/>
      <c r="AF136" s="14"/>
      <c r="AG136" s="14"/>
      <c r="AH136" s="61"/>
      <c r="AI136" s="14"/>
      <c r="AJ136" s="80"/>
    </row>
    <row r="137" spans="1:36" s="36" customFormat="1" ht="75.75" customHeight="1">
      <c r="A137" s="55">
        <v>5</v>
      </c>
      <c r="B137" s="26" t="s">
        <v>73</v>
      </c>
      <c r="C137" s="17"/>
      <c r="D137" s="45"/>
      <c r="E137" s="45"/>
      <c r="F137" s="19">
        <v>69.209999999999994</v>
      </c>
      <c r="G137" s="19">
        <v>63306.050089999997</v>
      </c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24"/>
      <c r="U137" s="19">
        <f>F137</f>
        <v>69.209999999999994</v>
      </c>
      <c r="V137" s="19">
        <f>G137</f>
        <v>63306.050089999997</v>
      </c>
      <c r="W137" s="19"/>
      <c r="X137" s="19">
        <f>V137</f>
        <v>63306.050089999997</v>
      </c>
      <c r="Y137" s="19"/>
      <c r="Z137" s="14"/>
      <c r="AA137" s="14"/>
      <c r="AB137" s="14"/>
      <c r="AC137" s="14"/>
      <c r="AD137" s="14"/>
      <c r="AE137" s="14"/>
      <c r="AF137" s="14"/>
      <c r="AG137" s="14" t="s">
        <v>35</v>
      </c>
      <c r="AH137" s="61"/>
      <c r="AI137" s="14"/>
      <c r="AJ137" s="80"/>
    </row>
    <row r="138" spans="1:36" s="36" customFormat="1" ht="73.5" customHeight="1">
      <c r="A138" s="70">
        <v>6</v>
      </c>
      <c r="B138" s="26" t="s">
        <v>137</v>
      </c>
      <c r="C138" s="17"/>
      <c r="D138" s="45"/>
      <c r="E138" s="45"/>
      <c r="F138" s="19">
        <v>80.3</v>
      </c>
      <c r="G138" s="19">
        <f>33000-3386.74537</f>
        <v>29613.254629999999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24"/>
      <c r="U138" s="19"/>
      <c r="V138" s="19"/>
      <c r="W138" s="19"/>
      <c r="X138" s="19"/>
      <c r="Y138" s="19"/>
      <c r="Z138" s="14"/>
      <c r="AA138" s="19">
        <f>F138</f>
        <v>80.3</v>
      </c>
      <c r="AB138" s="19">
        <f>G138</f>
        <v>29613.254629999999</v>
      </c>
      <c r="AC138" s="14"/>
      <c r="AD138" s="19">
        <f>AB138</f>
        <v>29613.254629999999</v>
      </c>
      <c r="AE138" s="14"/>
      <c r="AF138" s="14"/>
      <c r="AG138" s="14"/>
      <c r="AH138" s="61"/>
      <c r="AI138" s="14"/>
      <c r="AJ138" s="80"/>
    </row>
    <row r="139" spans="1:36" s="36" customFormat="1" ht="32.25" customHeight="1">
      <c r="A139" s="164" t="s">
        <v>23</v>
      </c>
      <c r="B139" s="165"/>
      <c r="C139" s="17"/>
      <c r="D139" s="45"/>
      <c r="E139" s="45"/>
      <c r="F139" s="19"/>
      <c r="G139" s="19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24"/>
      <c r="U139" s="19"/>
      <c r="V139" s="19"/>
      <c r="W139" s="19"/>
      <c r="X139" s="19"/>
      <c r="Y139" s="19"/>
      <c r="Z139" s="14"/>
      <c r="AA139" s="19"/>
      <c r="AB139" s="19"/>
      <c r="AC139" s="14"/>
      <c r="AD139" s="19"/>
      <c r="AE139" s="14"/>
      <c r="AF139" s="14"/>
      <c r="AG139" s="14"/>
      <c r="AH139" s="61"/>
      <c r="AI139" s="14"/>
      <c r="AJ139" s="80"/>
    </row>
    <row r="140" spans="1:36" s="36" customFormat="1" ht="67.5" customHeight="1">
      <c r="A140" s="70">
        <v>7</v>
      </c>
      <c r="B140" s="26" t="s">
        <v>151</v>
      </c>
      <c r="C140" s="17"/>
      <c r="D140" s="45"/>
      <c r="E140" s="45"/>
      <c r="F140" s="19">
        <v>69.2</v>
      </c>
      <c r="G140" s="19">
        <f>30200.47506+2110.24684+2239.9815+3386.74537+1534.64814</f>
        <v>39472.096909999993</v>
      </c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24"/>
      <c r="U140" s="19"/>
      <c r="V140" s="19"/>
      <c r="W140" s="19"/>
      <c r="X140" s="19"/>
      <c r="Y140" s="19"/>
      <c r="Z140" s="14"/>
      <c r="AA140" s="19">
        <f>F140</f>
        <v>69.2</v>
      </c>
      <c r="AB140" s="19">
        <f>G140</f>
        <v>39472.096909999993</v>
      </c>
      <c r="AC140" s="14"/>
      <c r="AD140" s="19">
        <f>AB140</f>
        <v>39472.096909999993</v>
      </c>
      <c r="AE140" s="14"/>
      <c r="AF140" s="14"/>
      <c r="AG140" s="14"/>
      <c r="AH140" s="61"/>
      <c r="AI140" s="14"/>
      <c r="AJ140" s="80"/>
    </row>
    <row r="141" spans="1:36" s="36" customFormat="1" ht="33.75" customHeight="1">
      <c r="A141" s="164" t="s">
        <v>24</v>
      </c>
      <c r="B141" s="165"/>
      <c r="C141" s="45"/>
      <c r="D141" s="45"/>
      <c r="E141" s="45"/>
      <c r="F141" s="45"/>
      <c r="G141" s="12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24"/>
      <c r="U141" s="31"/>
      <c r="V141" s="124"/>
      <c r="W141" s="124"/>
      <c r="X141" s="124"/>
      <c r="Y141" s="124"/>
      <c r="Z141" s="14"/>
      <c r="AA141" s="14"/>
      <c r="AB141" s="14"/>
      <c r="AC141" s="14"/>
      <c r="AD141" s="14"/>
      <c r="AE141" s="14"/>
      <c r="AF141" s="14"/>
      <c r="AG141" s="14"/>
      <c r="AH141" s="61"/>
      <c r="AI141" s="14"/>
      <c r="AJ141" s="80"/>
    </row>
    <row r="142" spans="1:36" s="36" customFormat="1" ht="80.25" customHeight="1">
      <c r="A142" s="55">
        <v>8</v>
      </c>
      <c r="B142" s="26" t="s">
        <v>116</v>
      </c>
      <c r="C142" s="45"/>
      <c r="D142" s="45"/>
      <c r="E142" s="45"/>
      <c r="F142" s="19">
        <v>70.900000000000006</v>
      </c>
      <c r="G142" s="19">
        <v>225433.47151999999</v>
      </c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24"/>
      <c r="U142" s="31"/>
      <c r="V142" s="124" t="s">
        <v>20</v>
      </c>
      <c r="W142" s="124" t="s">
        <v>18</v>
      </c>
      <c r="X142" s="124"/>
      <c r="Y142" s="124"/>
      <c r="Z142" s="14"/>
      <c r="AA142" s="19">
        <v>70.900000000000006</v>
      </c>
      <c r="AB142" s="19">
        <f>G142</f>
        <v>225433.47151999999</v>
      </c>
      <c r="AC142" s="14"/>
      <c r="AD142" s="19">
        <f>AB142</f>
        <v>225433.47151999999</v>
      </c>
      <c r="AE142" s="14"/>
      <c r="AF142" s="14"/>
      <c r="AG142" s="14"/>
      <c r="AH142" s="61"/>
      <c r="AI142" s="14"/>
      <c r="AJ142" s="80"/>
    </row>
    <row r="143" spans="1:36" s="36" customFormat="1" ht="63.2" hidden="1" customHeight="1">
      <c r="A143" s="55">
        <v>8</v>
      </c>
      <c r="B143" s="26" t="s">
        <v>117</v>
      </c>
      <c r="C143" s="45"/>
      <c r="D143" s="45"/>
      <c r="E143" s="45"/>
      <c r="F143" s="19"/>
      <c r="G143" s="19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24"/>
      <c r="U143" s="31"/>
      <c r="V143" s="124"/>
      <c r="W143" s="124"/>
      <c r="X143" s="124"/>
      <c r="Y143" s="124"/>
      <c r="Z143" s="14"/>
      <c r="AA143" s="19"/>
      <c r="AB143" s="19"/>
      <c r="AC143" s="14"/>
      <c r="AD143" s="19"/>
      <c r="AE143" s="14"/>
      <c r="AF143" s="14"/>
      <c r="AG143" s="14"/>
      <c r="AH143" s="61"/>
      <c r="AI143" s="14"/>
      <c r="AJ143" s="80"/>
    </row>
    <row r="144" spans="1:36" s="36" customFormat="1" ht="36" hidden="1" customHeight="1">
      <c r="A144" s="164" t="s">
        <v>25</v>
      </c>
      <c r="B144" s="165"/>
      <c r="C144" s="45"/>
      <c r="D144" s="45"/>
      <c r="E144" s="45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24"/>
      <c r="U144" s="31"/>
      <c r="V144" s="124"/>
      <c r="W144" s="124"/>
      <c r="X144" s="124"/>
      <c r="Y144" s="124"/>
      <c r="Z144" s="14"/>
      <c r="AA144" s="14"/>
      <c r="AB144" s="14"/>
      <c r="AC144" s="14"/>
      <c r="AD144" s="14"/>
      <c r="AE144" s="14"/>
      <c r="AF144" s="14"/>
      <c r="AG144" s="14"/>
      <c r="AH144" s="61"/>
      <c r="AI144" s="14"/>
      <c r="AJ144" s="80"/>
    </row>
    <row r="145" spans="1:36" s="36" customFormat="1" ht="54.75" hidden="1" customHeight="1">
      <c r="A145" s="55"/>
      <c r="B145" s="26" t="s">
        <v>150</v>
      </c>
      <c r="C145" s="45"/>
      <c r="D145" s="45"/>
      <c r="E145" s="45"/>
      <c r="F145" s="19"/>
      <c r="G145" s="19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24"/>
      <c r="U145" s="31"/>
      <c r="V145" s="124"/>
      <c r="W145" s="124"/>
      <c r="X145" s="124"/>
      <c r="Y145" s="124"/>
      <c r="Z145" s="14"/>
      <c r="AA145" s="19"/>
      <c r="AB145" s="19">
        <f>G145</f>
        <v>0</v>
      </c>
      <c r="AC145" s="14"/>
      <c r="AD145" s="19">
        <f>AB145</f>
        <v>0</v>
      </c>
      <c r="AE145" s="14"/>
      <c r="AF145" s="14"/>
      <c r="AG145" s="14"/>
      <c r="AH145" s="61"/>
      <c r="AI145" s="14"/>
      <c r="AJ145" s="80"/>
    </row>
    <row r="146" spans="1:36" s="36" customFormat="1" ht="30.75" customHeight="1">
      <c r="A146" s="164" t="s">
        <v>26</v>
      </c>
      <c r="B146" s="165"/>
      <c r="C146" s="45"/>
      <c r="D146" s="45"/>
      <c r="E146" s="45"/>
      <c r="F146" s="14"/>
      <c r="G146" s="113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24"/>
      <c r="U146" s="31"/>
      <c r="V146" s="124"/>
      <c r="W146" s="124"/>
      <c r="X146" s="124"/>
      <c r="Y146" s="124"/>
      <c r="Z146" s="14"/>
      <c r="AA146" s="14"/>
      <c r="AB146" s="14"/>
      <c r="AC146" s="14"/>
      <c r="AD146" s="19"/>
      <c r="AE146" s="14"/>
      <c r="AF146" s="14"/>
      <c r="AG146" s="14"/>
      <c r="AH146" s="61"/>
      <c r="AI146" s="14"/>
      <c r="AJ146" s="80"/>
    </row>
    <row r="147" spans="1:36" s="36" customFormat="1" ht="57.75" customHeight="1">
      <c r="A147" s="55">
        <v>9</v>
      </c>
      <c r="B147" s="26" t="s">
        <v>89</v>
      </c>
      <c r="C147" s="45"/>
      <c r="D147" s="45"/>
      <c r="E147" s="45"/>
      <c r="F147" s="19">
        <v>51.2</v>
      </c>
      <c r="G147" s="19">
        <f>19500-2110.24684</f>
        <v>17389.75316</v>
      </c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24"/>
      <c r="U147" s="31"/>
      <c r="V147" s="124"/>
      <c r="W147" s="124"/>
      <c r="X147" s="124"/>
      <c r="Y147" s="124"/>
      <c r="Z147" s="14"/>
      <c r="AA147" s="19">
        <v>51.2</v>
      </c>
      <c r="AB147" s="19">
        <f>G147</f>
        <v>17389.75316</v>
      </c>
      <c r="AC147" s="14"/>
      <c r="AD147" s="19">
        <f>AB147</f>
        <v>17389.75316</v>
      </c>
      <c r="AE147" s="14"/>
      <c r="AF147" s="14"/>
      <c r="AG147" s="14"/>
      <c r="AH147" s="61"/>
      <c r="AI147" s="14"/>
      <c r="AJ147" s="80"/>
    </row>
    <row r="148" spans="1:36" s="36" customFormat="1" ht="36" customHeight="1">
      <c r="A148" s="164" t="s">
        <v>28</v>
      </c>
      <c r="B148" s="165"/>
      <c r="C148" s="45"/>
      <c r="D148" s="45"/>
      <c r="E148" s="45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24"/>
      <c r="U148" s="31"/>
      <c r="V148" s="124"/>
      <c r="W148" s="124"/>
      <c r="X148" s="124"/>
      <c r="Y148" s="124"/>
      <c r="Z148" s="14"/>
      <c r="AA148" s="14"/>
      <c r="AB148" s="14"/>
      <c r="AC148" s="14"/>
      <c r="AD148" s="14"/>
      <c r="AE148" s="14"/>
      <c r="AF148" s="14"/>
      <c r="AG148" s="14"/>
      <c r="AH148" s="61"/>
      <c r="AI148" s="14"/>
      <c r="AJ148" s="80"/>
    </row>
    <row r="149" spans="1:36" s="36" customFormat="1" ht="64.5" customHeight="1">
      <c r="A149" s="55">
        <v>10</v>
      </c>
      <c r="B149" s="26" t="s">
        <v>90</v>
      </c>
      <c r="C149" s="45"/>
      <c r="D149" s="45"/>
      <c r="E149" s="45"/>
      <c r="F149" s="19" t="s">
        <v>67</v>
      </c>
      <c r="G149" s="19">
        <v>15478.27</v>
      </c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24"/>
      <c r="U149" s="19" t="str">
        <f>F149</f>
        <v>50,9</v>
      </c>
      <c r="V149" s="19">
        <f>G149</f>
        <v>15478.27</v>
      </c>
      <c r="W149" s="19"/>
      <c r="X149" s="19">
        <f>V149</f>
        <v>15478.27</v>
      </c>
      <c r="Y149" s="124"/>
      <c r="Z149" s="14"/>
      <c r="AA149" s="14"/>
      <c r="AB149" s="14"/>
      <c r="AC149" s="14"/>
      <c r="AD149" s="14"/>
      <c r="AE149" s="14"/>
      <c r="AF149" s="14"/>
      <c r="AG149" s="14"/>
      <c r="AH149" s="61"/>
      <c r="AI149" s="14"/>
      <c r="AJ149" s="80"/>
    </row>
    <row r="150" spans="1:36" s="36" customFormat="1" ht="52.5" customHeight="1">
      <c r="A150" s="55">
        <v>11</v>
      </c>
      <c r="B150" s="51" t="s">
        <v>91</v>
      </c>
      <c r="C150" s="45"/>
      <c r="D150" s="45"/>
      <c r="E150" s="45"/>
      <c r="F150" s="19">
        <v>67.7</v>
      </c>
      <c r="G150" s="19">
        <f>28000-1534.64814</f>
        <v>26465.351859999999</v>
      </c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24"/>
      <c r="U150" s="19"/>
      <c r="V150" s="19"/>
      <c r="W150" s="19"/>
      <c r="X150" s="19"/>
      <c r="Y150" s="124"/>
      <c r="Z150" s="14"/>
      <c r="AA150" s="19">
        <v>67.7</v>
      </c>
      <c r="AB150" s="19">
        <f>G150</f>
        <v>26465.351859999999</v>
      </c>
      <c r="AC150" s="14"/>
      <c r="AD150" s="19">
        <f>AB150</f>
        <v>26465.351859999999</v>
      </c>
      <c r="AE150" s="14"/>
      <c r="AF150" s="14"/>
      <c r="AG150" s="14"/>
      <c r="AH150" s="61"/>
      <c r="AI150" s="14"/>
      <c r="AJ150" s="80"/>
    </row>
    <row r="151" spans="1:36" s="36" customFormat="1" ht="36" customHeight="1">
      <c r="A151" s="164" t="s">
        <v>157</v>
      </c>
      <c r="B151" s="165"/>
      <c r="C151" s="45"/>
      <c r="D151" s="104"/>
      <c r="E151" s="104"/>
      <c r="F151" s="19"/>
      <c r="G151" s="1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24"/>
      <c r="U151" s="31"/>
      <c r="V151" s="124"/>
      <c r="W151" s="124"/>
      <c r="X151" s="124"/>
      <c r="Y151" s="124"/>
      <c r="Z151" s="14"/>
      <c r="AA151" s="22"/>
      <c r="AB151" s="19"/>
      <c r="AC151" s="19"/>
      <c r="AD151" s="19"/>
      <c r="AE151" s="19"/>
      <c r="AF151" s="14"/>
      <c r="AG151" s="14"/>
      <c r="AH151" s="61"/>
      <c r="AI151" s="14"/>
      <c r="AJ151" s="80"/>
    </row>
    <row r="152" spans="1:36" s="36" customFormat="1" ht="62.65" customHeight="1">
      <c r="A152" s="55">
        <v>12</v>
      </c>
      <c r="B152" s="51" t="s">
        <v>152</v>
      </c>
      <c r="C152" s="45"/>
      <c r="D152" s="104"/>
      <c r="E152" s="104"/>
      <c r="F152" s="19">
        <v>216.28</v>
      </c>
      <c r="G152" s="19">
        <v>375000</v>
      </c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24"/>
      <c r="U152" s="31"/>
      <c r="V152" s="124"/>
      <c r="W152" s="124"/>
      <c r="X152" s="124"/>
      <c r="Y152" s="124"/>
      <c r="Z152" s="14"/>
      <c r="AA152" s="19">
        <v>216.28</v>
      </c>
      <c r="AB152" s="19">
        <v>375000</v>
      </c>
      <c r="AC152" s="19"/>
      <c r="AD152" s="19">
        <f>352500-249500+249500</f>
        <v>352500</v>
      </c>
      <c r="AE152" s="19">
        <f>AB152-AD152</f>
        <v>22500</v>
      </c>
      <c r="AF152" s="14"/>
      <c r="AG152" s="14"/>
      <c r="AH152" s="61"/>
      <c r="AI152" s="14"/>
      <c r="AJ152" s="80"/>
    </row>
    <row r="153" spans="1:36" s="36" customFormat="1" ht="36" customHeight="1">
      <c r="A153" s="164" t="s">
        <v>66</v>
      </c>
      <c r="B153" s="165"/>
      <c r="C153" s="45"/>
      <c r="D153" s="104"/>
      <c r="E153" s="104"/>
      <c r="F153" s="22"/>
      <c r="G153" s="1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24"/>
      <c r="U153" s="31"/>
      <c r="V153" s="124"/>
      <c r="W153" s="124"/>
      <c r="X153" s="124"/>
      <c r="Y153" s="124"/>
      <c r="Z153" s="14"/>
      <c r="AA153" s="22"/>
      <c r="AB153" s="19"/>
      <c r="AC153" s="19"/>
      <c r="AD153" s="19"/>
      <c r="AE153" s="19"/>
      <c r="AF153" s="14"/>
      <c r="AG153" s="14"/>
      <c r="AH153" s="61"/>
      <c r="AI153" s="14"/>
      <c r="AJ153" s="80"/>
    </row>
    <row r="154" spans="1:36" s="36" customFormat="1" ht="77.650000000000006" customHeight="1">
      <c r="A154" s="55">
        <v>13</v>
      </c>
      <c r="B154" s="51" t="s">
        <v>74</v>
      </c>
      <c r="C154" s="45"/>
      <c r="D154" s="104"/>
      <c r="E154" s="104"/>
      <c r="F154" s="19">
        <v>39.700000000000003</v>
      </c>
      <c r="G154" s="19">
        <v>10933.883819999999</v>
      </c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24"/>
      <c r="U154" s="31"/>
      <c r="V154" s="124"/>
      <c r="W154" s="124"/>
      <c r="X154" s="124"/>
      <c r="Y154" s="124"/>
      <c r="Z154" s="14"/>
      <c r="AA154" s="19">
        <v>39.700000000000003</v>
      </c>
      <c r="AB154" s="19">
        <f>G154</f>
        <v>10933.883819999999</v>
      </c>
      <c r="AC154" s="19"/>
      <c r="AD154" s="19">
        <f>AB154</f>
        <v>10933.883819999999</v>
      </c>
      <c r="AE154" s="19"/>
      <c r="AF154" s="14"/>
      <c r="AG154" s="14"/>
      <c r="AH154" s="61" t="s">
        <v>20</v>
      </c>
      <c r="AI154" s="14"/>
      <c r="AJ154" s="80"/>
    </row>
    <row r="155" spans="1:36" s="36" customFormat="1" ht="36" customHeight="1">
      <c r="A155" s="164" t="s">
        <v>32</v>
      </c>
      <c r="B155" s="165"/>
      <c r="C155" s="45"/>
      <c r="D155" s="104"/>
      <c r="E155" s="104"/>
      <c r="F155" s="19"/>
      <c r="G155" s="19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24"/>
      <c r="U155" s="31"/>
      <c r="V155" s="124"/>
      <c r="W155" s="124"/>
      <c r="X155" s="124"/>
      <c r="Y155" s="124"/>
      <c r="Z155" s="14"/>
      <c r="AA155" s="22"/>
      <c r="AB155" s="19"/>
      <c r="AC155" s="19"/>
      <c r="AD155" s="19"/>
      <c r="AE155" s="19"/>
      <c r="AF155" s="14"/>
      <c r="AG155" s="14"/>
      <c r="AH155" s="61"/>
      <c r="AI155" s="14"/>
      <c r="AJ155" s="80"/>
    </row>
    <row r="156" spans="1:36" s="36" customFormat="1" ht="72.75" customHeight="1">
      <c r="A156" s="55">
        <v>14</v>
      </c>
      <c r="B156" s="50" t="s">
        <v>75</v>
      </c>
      <c r="C156" s="26"/>
      <c r="D156" s="104"/>
      <c r="E156" s="104"/>
      <c r="F156" s="19">
        <v>60.15</v>
      </c>
      <c r="G156" s="19">
        <f>215610.4-15000</f>
        <v>200610.4</v>
      </c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24"/>
      <c r="U156" s="19">
        <v>60.15</v>
      </c>
      <c r="V156" s="19">
        <f>152971.4+32100.9-15000</f>
        <v>170072.3</v>
      </c>
      <c r="W156" s="19"/>
      <c r="X156" s="49">
        <f>V156-Y156</f>
        <v>158167.19999999998</v>
      </c>
      <c r="Y156" s="49">
        <v>11905.1</v>
      </c>
      <c r="Z156" s="14"/>
      <c r="AA156" s="14"/>
      <c r="AB156" s="124"/>
      <c r="AC156" s="124"/>
      <c r="AD156" s="124"/>
      <c r="AE156" s="124"/>
      <c r="AF156" s="14"/>
      <c r="AG156" s="14"/>
      <c r="AH156" s="61"/>
      <c r="AI156" s="14"/>
      <c r="AJ156" s="80"/>
    </row>
    <row r="157" spans="1:36" s="36" customFormat="1" ht="65.25" customHeight="1">
      <c r="A157" s="55">
        <v>15</v>
      </c>
      <c r="B157" s="50" t="s">
        <v>92</v>
      </c>
      <c r="C157" s="17"/>
      <c r="D157" s="45"/>
      <c r="E157" s="45"/>
      <c r="F157" s="19">
        <v>69.900000000000006</v>
      </c>
      <c r="G157" s="19">
        <v>65674.763399999996</v>
      </c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24"/>
      <c r="U157" s="19">
        <v>69.900000000000006</v>
      </c>
      <c r="V157" s="19">
        <v>37144.763399999996</v>
      </c>
      <c r="W157" s="19"/>
      <c r="X157" s="49">
        <f>V157</f>
        <v>37144.763399999996</v>
      </c>
      <c r="Y157" s="19"/>
      <c r="Z157" s="14"/>
      <c r="AA157" s="14"/>
      <c r="AB157" s="14"/>
      <c r="AC157" s="14"/>
      <c r="AD157" s="14"/>
      <c r="AE157" s="14"/>
      <c r="AF157" s="14"/>
      <c r="AG157" s="14"/>
      <c r="AH157" s="61"/>
      <c r="AI157" s="14"/>
      <c r="AJ157" s="80"/>
    </row>
    <row r="158" spans="1:36" s="36" customFormat="1" ht="69.75" customHeight="1">
      <c r="A158" s="55">
        <v>16</v>
      </c>
      <c r="B158" s="50" t="s">
        <v>93</v>
      </c>
      <c r="C158" s="17"/>
      <c r="D158" s="45"/>
      <c r="E158" s="45"/>
      <c r="F158" s="19">
        <v>69.900000000000006</v>
      </c>
      <c r="G158" s="19">
        <v>65644.468389999995</v>
      </c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24"/>
      <c r="U158" s="19">
        <v>69.900000000000006</v>
      </c>
      <c r="V158" s="19">
        <v>47124.468389999995</v>
      </c>
      <c r="W158" s="19"/>
      <c r="X158" s="49">
        <f>V158</f>
        <v>47124.468389999995</v>
      </c>
      <c r="Y158" s="124"/>
      <c r="Z158" s="14"/>
      <c r="AA158" s="124"/>
      <c r="AB158" s="19"/>
      <c r="AC158" s="19"/>
      <c r="AD158" s="19"/>
      <c r="AE158" s="19"/>
      <c r="AF158" s="14" t="s">
        <v>20</v>
      </c>
      <c r="AG158" s="14" t="s">
        <v>0</v>
      </c>
      <c r="AH158" s="61"/>
      <c r="AI158" s="14"/>
      <c r="AJ158" s="80"/>
    </row>
    <row r="159" spans="1:36" s="36" customFormat="1" ht="66" customHeight="1">
      <c r="A159" s="55">
        <v>17</v>
      </c>
      <c r="B159" s="50" t="s">
        <v>94</v>
      </c>
      <c r="C159" s="25"/>
      <c r="D159" s="45"/>
      <c r="E159" s="45"/>
      <c r="F159" s="19">
        <v>66.2</v>
      </c>
      <c r="G159" s="19">
        <v>63566.332900000001</v>
      </c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24"/>
      <c r="U159" s="19">
        <v>66.2</v>
      </c>
      <c r="V159" s="19">
        <f>45631.3329+5000-461.62055</f>
        <v>50169.712350000002</v>
      </c>
      <c r="W159" s="19"/>
      <c r="X159" s="49">
        <f>V159</f>
        <v>50169.712350000002</v>
      </c>
      <c r="Y159" s="124"/>
      <c r="Z159" s="14"/>
      <c r="AA159" s="14"/>
      <c r="AB159" s="124"/>
      <c r="AC159" s="124"/>
      <c r="AD159" s="124"/>
      <c r="AE159" s="124"/>
      <c r="AF159" s="14"/>
      <c r="AG159" s="14" t="s">
        <v>18</v>
      </c>
      <c r="AH159" s="61"/>
      <c r="AI159" s="14"/>
      <c r="AJ159" s="80"/>
    </row>
    <row r="160" spans="1:36" s="36" customFormat="1" ht="69.75" customHeight="1">
      <c r="A160" s="55">
        <v>18</v>
      </c>
      <c r="B160" s="50" t="s">
        <v>76</v>
      </c>
      <c r="C160" s="25"/>
      <c r="D160" s="45"/>
      <c r="E160" s="45"/>
      <c r="F160" s="19">
        <v>78.2</v>
      </c>
      <c r="G160" s="19">
        <f>28620+V160</f>
        <v>100410.93806999999</v>
      </c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24"/>
      <c r="U160" s="19">
        <v>78.2</v>
      </c>
      <c r="V160" s="49">
        <v>71790.938069999989</v>
      </c>
      <c r="W160" s="19"/>
      <c r="X160" s="49">
        <f>V160</f>
        <v>71790.938069999989</v>
      </c>
      <c r="Y160" s="14"/>
      <c r="Z160" s="14"/>
      <c r="AA160" s="14"/>
      <c r="AB160" s="14"/>
      <c r="AC160" s="14"/>
      <c r="AD160" s="14"/>
      <c r="AE160" s="14"/>
      <c r="AF160" s="14"/>
      <c r="AG160" s="14"/>
      <c r="AH160" s="61"/>
      <c r="AI160" s="14"/>
      <c r="AJ160" s="80"/>
    </row>
    <row r="161" spans="1:36" s="36" customFormat="1" ht="65.25" hidden="1" customHeight="1">
      <c r="A161" s="55">
        <v>20</v>
      </c>
      <c r="B161" s="50" t="s">
        <v>95</v>
      </c>
      <c r="C161" s="25"/>
      <c r="D161" s="45"/>
      <c r="E161" s="45"/>
      <c r="F161" s="19"/>
      <c r="G161" s="1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24"/>
      <c r="U161" s="19"/>
      <c r="V161" s="19" t="s">
        <v>20</v>
      </c>
      <c r="W161" s="19"/>
      <c r="X161" s="49"/>
      <c r="Y161" s="14"/>
      <c r="Z161" s="14"/>
      <c r="AA161" s="19"/>
      <c r="AB161" s="19"/>
      <c r="AC161" s="14"/>
      <c r="AD161" s="19"/>
      <c r="AE161" s="14"/>
      <c r="AF161" s="14"/>
      <c r="AG161" s="14"/>
      <c r="AH161" s="61"/>
      <c r="AI161" s="14"/>
      <c r="AJ161" s="80"/>
    </row>
    <row r="162" spans="1:36" s="38" customFormat="1" ht="30" customHeight="1">
      <c r="A162" s="164" t="s">
        <v>65</v>
      </c>
      <c r="B162" s="165"/>
      <c r="C162" s="25"/>
      <c r="D162" s="45"/>
      <c r="E162" s="45"/>
      <c r="F162" s="19"/>
      <c r="G162" s="19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24"/>
      <c r="U162" s="19"/>
      <c r="V162" s="19"/>
      <c r="W162" s="19"/>
      <c r="X162" s="49"/>
      <c r="Y162" s="14"/>
      <c r="Z162" s="14"/>
      <c r="AA162" s="14"/>
      <c r="AB162" s="14"/>
      <c r="AC162" s="14"/>
      <c r="AD162" s="14"/>
      <c r="AE162" s="14"/>
      <c r="AF162" s="14"/>
      <c r="AG162" s="14"/>
      <c r="AH162" s="61"/>
      <c r="AI162" s="14"/>
      <c r="AJ162" s="80"/>
    </row>
    <row r="163" spans="1:36" s="38" customFormat="1" ht="65.25" customHeight="1">
      <c r="A163" s="58">
        <v>19</v>
      </c>
      <c r="B163" s="50" t="s">
        <v>118</v>
      </c>
      <c r="C163" s="69"/>
      <c r="D163" s="69"/>
      <c r="E163" s="105"/>
      <c r="F163" s="19">
        <v>160.69999999999999</v>
      </c>
      <c r="G163" s="19">
        <f>27845.4+V163</f>
        <v>46367.142970000001</v>
      </c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24"/>
      <c r="U163" s="19">
        <v>160.69999999999999</v>
      </c>
      <c r="V163" s="49">
        <v>18521.742969999999</v>
      </c>
      <c r="W163" s="19"/>
      <c r="X163" s="49">
        <f>V163</f>
        <v>18521.742969999999</v>
      </c>
      <c r="Y163" s="106"/>
      <c r="Z163" s="69"/>
      <c r="AA163" s="69"/>
      <c r="AB163" s="69"/>
      <c r="AC163" s="69"/>
      <c r="AD163" s="69"/>
      <c r="AE163" s="69"/>
      <c r="AF163" s="69"/>
      <c r="AG163" s="69"/>
      <c r="AH163" s="123"/>
      <c r="AI163" s="69"/>
      <c r="AJ163" s="92"/>
    </row>
    <row r="164" spans="1:36" s="38" customFormat="1" ht="33" customHeight="1">
      <c r="A164" s="164" t="s">
        <v>159</v>
      </c>
      <c r="B164" s="165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123"/>
      <c r="AI164" s="69"/>
      <c r="AJ164" s="92"/>
    </row>
    <row r="165" spans="1:36" s="38" customFormat="1" ht="45.75" customHeight="1" thickBot="1">
      <c r="A165" s="81">
        <v>20</v>
      </c>
      <c r="B165" s="82" t="s">
        <v>119</v>
      </c>
      <c r="C165" s="83"/>
      <c r="D165" s="107"/>
      <c r="E165" s="84"/>
      <c r="F165" s="85">
        <v>88</v>
      </c>
      <c r="G165" s="85">
        <f>21923.4+V165</f>
        <v>50519.12285</v>
      </c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7"/>
      <c r="S165" s="107"/>
      <c r="T165" s="84"/>
      <c r="U165" s="85">
        <f>F165</f>
        <v>88</v>
      </c>
      <c r="V165" s="85">
        <f>X165+Y165</f>
        <v>28595.722849999998</v>
      </c>
      <c r="W165" s="85"/>
      <c r="X165" s="86">
        <v>26879.979479999998</v>
      </c>
      <c r="Y165" s="86">
        <v>1715.7433699999999</v>
      </c>
      <c r="Z165" s="107" t="s">
        <v>20</v>
      </c>
      <c r="AA165" s="107"/>
      <c r="AB165" s="107"/>
      <c r="AC165" s="107" t="s">
        <v>0</v>
      </c>
      <c r="AD165" s="107"/>
      <c r="AE165" s="107"/>
      <c r="AF165" s="107"/>
      <c r="AG165" s="107"/>
      <c r="AH165" s="108"/>
      <c r="AI165" s="107"/>
      <c r="AJ165" s="109"/>
    </row>
    <row r="166" spans="1:36" s="38" customFormat="1" ht="29.25" hidden="1" customHeight="1" thickBot="1">
      <c r="A166" s="169"/>
      <c r="B166" s="170"/>
      <c r="C166" s="170"/>
      <c r="D166" s="71"/>
      <c r="E166" s="72"/>
      <c r="F166" s="110"/>
      <c r="G166" s="73"/>
      <c r="H166" s="74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2"/>
      <c r="U166" s="110"/>
      <c r="V166" s="73"/>
      <c r="W166" s="73"/>
      <c r="X166" s="73"/>
      <c r="Y166" s="73"/>
      <c r="Z166" s="71"/>
      <c r="AA166" s="71"/>
      <c r="AB166" s="71"/>
      <c r="AC166" s="71"/>
      <c r="AD166" s="71"/>
      <c r="AE166" s="71"/>
      <c r="AF166" s="71"/>
      <c r="AG166" s="71"/>
      <c r="AH166" s="75"/>
      <c r="AI166" s="76"/>
      <c r="AJ166" s="76"/>
    </row>
    <row r="167" spans="1:36" s="38" customFormat="1">
      <c r="A167" s="40"/>
      <c r="B167" s="37"/>
      <c r="C167" s="37"/>
      <c r="D167" s="37"/>
      <c r="E167" s="37"/>
      <c r="F167" s="37"/>
      <c r="G167" s="37"/>
      <c r="H167" s="39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</row>
    <row r="168" spans="1:36" s="38" customFormat="1">
      <c r="A168" s="40"/>
      <c r="B168" s="37"/>
      <c r="C168" s="37"/>
      <c r="D168" s="37"/>
      <c r="E168" s="37"/>
      <c r="F168" s="37"/>
      <c r="G168" s="37"/>
      <c r="H168" s="39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</row>
    <row r="169" spans="1:36" s="38" customFormat="1">
      <c r="A169" s="40"/>
      <c r="B169" s="37"/>
      <c r="C169" s="37"/>
      <c r="D169" s="37"/>
      <c r="E169" s="37"/>
      <c r="F169" s="37"/>
      <c r="G169" s="37"/>
      <c r="H169" s="39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</row>
    <row r="170" spans="1:36" s="38" customFormat="1">
      <c r="A170" s="40"/>
      <c r="B170" s="37"/>
      <c r="C170" s="37"/>
      <c r="D170" s="37"/>
      <c r="E170" s="37"/>
      <c r="F170" s="37"/>
      <c r="G170" s="37"/>
      <c r="H170" s="39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</row>
    <row r="171" spans="1:36" s="38" customFormat="1">
      <c r="A171" s="40"/>
      <c r="B171" s="37"/>
      <c r="C171" s="37"/>
      <c r="D171" s="37"/>
      <c r="E171" s="37"/>
      <c r="F171" s="37"/>
      <c r="G171" s="37"/>
      <c r="H171" s="39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</row>
    <row r="172" spans="1:36" s="38" customFormat="1">
      <c r="A172" s="40"/>
      <c r="B172" s="37"/>
      <c r="C172" s="37"/>
      <c r="D172" s="37"/>
      <c r="E172" s="37"/>
      <c r="F172" s="37"/>
      <c r="G172" s="37"/>
      <c r="H172" s="39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</row>
    <row r="173" spans="1:36" s="38" customFormat="1">
      <c r="A173" s="40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</row>
    <row r="174" spans="1:36" s="38" customFormat="1">
      <c r="A174" s="40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</row>
    <row r="175" spans="1:36" s="38" customFormat="1">
      <c r="A175" s="40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</row>
    <row r="176" spans="1:36" s="38" customFormat="1">
      <c r="A176" s="40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</row>
    <row r="177" spans="1:36" s="38" customFormat="1">
      <c r="A177" s="40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</row>
    <row r="178" spans="1:36" s="38" customFormat="1">
      <c r="A178" s="40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</row>
    <row r="179" spans="1:36" s="38" customFormat="1">
      <c r="A179" s="40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</row>
    <row r="180" spans="1:36" s="38" customFormat="1">
      <c r="A180" s="40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</row>
    <row r="181" spans="1:36" s="38" customFormat="1">
      <c r="A181" s="40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</row>
    <row r="182" spans="1:36" s="38" customFormat="1">
      <c r="A182" s="40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</row>
    <row r="183" spans="1:36" s="38" customFormat="1">
      <c r="A183" s="40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</row>
    <row r="184" spans="1:36" s="38" customFormat="1">
      <c r="A184" s="40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</row>
    <row r="185" spans="1:36" s="38" customFormat="1">
      <c r="A185" s="40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</row>
    <row r="186" spans="1:36" s="38" customFormat="1">
      <c r="A186" s="40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</row>
    <row r="187" spans="1:36" s="38" customFormat="1">
      <c r="A187" s="40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</row>
    <row r="188" spans="1:36" s="38" customFormat="1">
      <c r="A188" s="40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</row>
    <row r="189" spans="1:36" s="38" customFormat="1">
      <c r="A189" s="40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</row>
    <row r="190" spans="1:36" s="38" customFormat="1">
      <c r="A190" s="40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</row>
    <row r="191" spans="1:36" s="38" customFormat="1">
      <c r="A191" s="40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</row>
    <row r="192" spans="1:36" s="38" customFormat="1">
      <c r="A192" s="40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</row>
    <row r="193" spans="1:36" s="38" customFormat="1">
      <c r="A193" s="40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</row>
    <row r="194" spans="1:36" s="38" customFormat="1">
      <c r="A194" s="40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</row>
    <row r="195" spans="1:36" s="38" customFormat="1">
      <c r="A195" s="40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</row>
    <row r="196" spans="1:36" s="38" customFormat="1">
      <c r="A196" s="40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</row>
    <row r="197" spans="1:36" s="38" customFormat="1">
      <c r="A197" s="40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</row>
    <row r="198" spans="1:36" s="38" customFormat="1">
      <c r="A198" s="40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</row>
    <row r="199" spans="1:36" s="38" customFormat="1">
      <c r="A199" s="40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</row>
    <row r="200" spans="1:36" s="38" customFormat="1">
      <c r="A200" s="40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</row>
    <row r="201" spans="1:36" s="38" customFormat="1">
      <c r="A201" s="40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</row>
    <row r="202" spans="1:36" s="38" customFormat="1">
      <c r="A202" s="40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</row>
    <row r="203" spans="1:36" s="38" customFormat="1">
      <c r="A203" s="40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</row>
    <row r="204" spans="1:36" s="38" customFormat="1">
      <c r="A204" s="40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</row>
    <row r="205" spans="1:36" s="38" customFormat="1">
      <c r="A205" s="40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</row>
    <row r="206" spans="1:36" s="38" customFormat="1">
      <c r="A206" s="40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</row>
    <row r="207" spans="1:36" s="38" customFormat="1">
      <c r="A207" s="40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</row>
    <row r="208" spans="1:36" s="38" customFormat="1">
      <c r="A208" s="40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</row>
    <row r="209" spans="1:36" s="38" customFormat="1">
      <c r="A209" s="40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</row>
    <row r="210" spans="1:36" s="38" customFormat="1">
      <c r="A210" s="40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</row>
    <row r="211" spans="1:36" s="38" customFormat="1">
      <c r="A211" s="40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</row>
    <row r="212" spans="1:36" s="38" customFormat="1">
      <c r="A212" s="40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</row>
    <row r="213" spans="1:36" s="38" customFormat="1">
      <c r="A213" s="40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</row>
    <row r="214" spans="1:36" s="38" customFormat="1">
      <c r="A214" s="40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</row>
    <row r="215" spans="1:36" s="38" customFormat="1">
      <c r="A215" s="40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</row>
    <row r="216" spans="1:36" s="38" customFormat="1">
      <c r="A216" s="40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</row>
    <row r="217" spans="1:36" s="38" customFormat="1">
      <c r="A217" s="40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</row>
    <row r="218" spans="1:36" s="38" customFormat="1">
      <c r="A218" s="40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</row>
    <row r="219" spans="1:36" s="38" customFormat="1">
      <c r="A219" s="40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</row>
    <row r="220" spans="1:36" s="38" customFormat="1">
      <c r="A220" s="40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</row>
    <row r="221" spans="1:36" s="38" customFormat="1">
      <c r="A221" s="40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</row>
    <row r="222" spans="1:36" s="38" customFormat="1">
      <c r="A222" s="40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</row>
    <row r="223" spans="1:36" s="38" customFormat="1">
      <c r="A223" s="40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</row>
    <row r="224" spans="1:36" s="38" customFormat="1">
      <c r="A224" s="40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</row>
    <row r="225" spans="1:36" s="38" customFormat="1">
      <c r="A225" s="40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</row>
    <row r="226" spans="1:36" s="38" customFormat="1">
      <c r="A226" s="40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</row>
    <row r="227" spans="1:36" s="38" customFormat="1">
      <c r="A227" s="40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</row>
    <row r="228" spans="1:36" s="38" customFormat="1">
      <c r="A228" s="40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</row>
    <row r="229" spans="1:36" s="38" customFormat="1">
      <c r="A229" s="40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</row>
    <row r="230" spans="1:36" s="38" customFormat="1">
      <c r="A230" s="40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</row>
    <row r="231" spans="1:36" s="38" customFormat="1">
      <c r="A231" s="40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</row>
    <row r="232" spans="1:36" s="38" customFormat="1">
      <c r="A232" s="40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</row>
    <row r="233" spans="1:36" s="38" customFormat="1">
      <c r="A233" s="40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</row>
    <row r="234" spans="1:36" s="38" customFormat="1">
      <c r="A234" s="40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</row>
    <row r="235" spans="1:36" s="38" customFormat="1">
      <c r="A235" s="40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</row>
    <row r="236" spans="1:36" s="38" customFormat="1">
      <c r="A236" s="40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</row>
    <row r="237" spans="1:36" s="38" customFormat="1">
      <c r="A237" s="40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</row>
    <row r="238" spans="1:36" s="38" customFormat="1">
      <c r="A238" s="40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</row>
    <row r="239" spans="1:36" s="38" customFormat="1">
      <c r="A239" s="40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</row>
    <row r="240" spans="1:36" s="38" customFormat="1">
      <c r="A240" s="40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</row>
    <row r="241" spans="1:36" s="38" customFormat="1">
      <c r="A241" s="40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</row>
    <row r="242" spans="1:36" s="38" customFormat="1">
      <c r="A242" s="40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</row>
    <row r="243" spans="1:36" s="38" customFormat="1">
      <c r="A243" s="40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</row>
    <row r="244" spans="1:36" s="38" customFormat="1">
      <c r="A244" s="40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</row>
    <row r="245" spans="1:36" s="38" customFormat="1">
      <c r="A245" s="40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</row>
    <row r="246" spans="1:36" s="38" customFormat="1">
      <c r="A246" s="40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</row>
    <row r="247" spans="1:36" s="38" customFormat="1">
      <c r="A247" s="40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</row>
    <row r="248" spans="1:36" s="38" customFormat="1">
      <c r="A248" s="40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</row>
    <row r="249" spans="1:36" s="38" customFormat="1">
      <c r="A249" s="40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</row>
    <row r="250" spans="1:36" s="38" customFormat="1">
      <c r="A250" s="40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</row>
    <row r="251" spans="1:36" s="38" customFormat="1">
      <c r="A251" s="40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</row>
    <row r="252" spans="1:36" s="38" customFormat="1">
      <c r="A252" s="40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</row>
    <row r="253" spans="1:36" s="38" customFormat="1">
      <c r="A253" s="40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</row>
    <row r="254" spans="1:36" s="38" customFormat="1">
      <c r="A254" s="40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</row>
    <row r="255" spans="1:36" s="38" customFormat="1">
      <c r="A255" s="40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</row>
    <row r="256" spans="1:36" s="38" customFormat="1">
      <c r="A256" s="40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</row>
    <row r="257" spans="1:36" s="38" customFormat="1">
      <c r="A257" s="40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</row>
    <row r="258" spans="1:36" s="38" customFormat="1">
      <c r="A258" s="40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</row>
    <row r="259" spans="1:36" s="38" customFormat="1">
      <c r="A259" s="40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</row>
    <row r="260" spans="1:36" s="38" customFormat="1">
      <c r="A260" s="40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</row>
    <row r="261" spans="1:36" s="38" customFormat="1">
      <c r="A261" s="40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</row>
    <row r="262" spans="1:36" s="38" customFormat="1">
      <c r="A262" s="40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</row>
    <row r="263" spans="1:36" s="38" customFormat="1">
      <c r="A263" s="40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</row>
    <row r="264" spans="1:36" s="38" customFormat="1">
      <c r="A264" s="40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</row>
    <row r="265" spans="1:36" s="38" customFormat="1">
      <c r="A265" s="40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</row>
    <row r="266" spans="1:36" s="38" customFormat="1">
      <c r="A266" s="40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</row>
    <row r="267" spans="1:36" s="38" customFormat="1">
      <c r="A267" s="40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</row>
    <row r="268" spans="1:36" s="38" customFormat="1">
      <c r="A268" s="40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</row>
    <row r="269" spans="1:36" s="38" customFormat="1">
      <c r="A269" s="40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</row>
    <row r="270" spans="1:36" s="38" customFormat="1">
      <c r="A270" s="40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</row>
    <row r="271" spans="1:36" s="38" customFormat="1">
      <c r="A271" s="40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</row>
    <row r="272" spans="1:36" s="38" customFormat="1">
      <c r="A272" s="40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</row>
    <row r="273" spans="1:36" s="38" customFormat="1">
      <c r="A273" s="40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</row>
    <row r="274" spans="1:36" s="38" customFormat="1">
      <c r="A274" s="40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</row>
    <row r="275" spans="1:36" s="38" customFormat="1">
      <c r="A275" s="40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</row>
    <row r="276" spans="1:36" s="38" customFormat="1">
      <c r="A276" s="40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</row>
    <row r="277" spans="1:36" s="38" customFormat="1">
      <c r="A277" s="40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</row>
    <row r="278" spans="1:36" s="38" customFormat="1">
      <c r="A278" s="40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</row>
    <row r="279" spans="1:36" s="38" customFormat="1">
      <c r="A279" s="40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</row>
    <row r="280" spans="1:36" s="38" customFormat="1">
      <c r="A280" s="40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</row>
    <row r="281" spans="1:36" s="38" customFormat="1">
      <c r="A281" s="40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</row>
    <row r="282" spans="1:36" s="38" customFormat="1">
      <c r="A282" s="40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</row>
    <row r="283" spans="1:36" s="38" customFormat="1">
      <c r="A283" s="40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</row>
    <row r="284" spans="1:36" s="38" customFormat="1">
      <c r="A284" s="40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</row>
    <row r="285" spans="1:36" s="38" customFormat="1">
      <c r="A285" s="40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</row>
    <row r="286" spans="1:36" s="38" customFormat="1">
      <c r="A286" s="40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</row>
    <row r="287" spans="1:36" s="38" customFormat="1">
      <c r="A287" s="40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</row>
    <row r="288" spans="1:36" s="38" customFormat="1">
      <c r="A288" s="40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</row>
    <row r="289" spans="1:36" s="38" customFormat="1">
      <c r="A289" s="40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</row>
    <row r="290" spans="1:36" s="38" customFormat="1">
      <c r="A290" s="40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</row>
    <row r="291" spans="1:36" s="38" customFormat="1">
      <c r="A291" s="40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</row>
    <row r="292" spans="1:36" s="38" customFormat="1">
      <c r="A292" s="40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</row>
    <row r="293" spans="1:36" s="38" customFormat="1">
      <c r="A293" s="40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</row>
    <row r="294" spans="1:36" s="38" customFormat="1">
      <c r="A294" s="40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</row>
    <row r="295" spans="1:36" s="38" customFormat="1">
      <c r="A295" s="40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</row>
    <row r="296" spans="1:36" s="38" customFormat="1">
      <c r="A296" s="40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</row>
    <row r="297" spans="1:36" s="38" customFormat="1">
      <c r="A297" s="40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</row>
    <row r="298" spans="1:36" s="38" customFormat="1">
      <c r="A298" s="40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</row>
    <row r="299" spans="1:36" s="38" customFormat="1">
      <c r="A299" s="40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</row>
    <row r="300" spans="1:36" s="38" customFormat="1">
      <c r="A300" s="40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</row>
    <row r="301" spans="1:36" s="38" customFormat="1">
      <c r="A301" s="40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</row>
    <row r="302" spans="1:36" s="38" customFormat="1">
      <c r="A302" s="40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</row>
    <row r="303" spans="1:36" s="38" customFormat="1">
      <c r="A303" s="40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</row>
    <row r="304" spans="1:36" s="38" customFormat="1">
      <c r="A304" s="40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</row>
    <row r="305" spans="1:36" s="38" customFormat="1">
      <c r="A305" s="40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</row>
    <row r="306" spans="1:36" s="38" customFormat="1">
      <c r="A306" s="40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</row>
    <row r="307" spans="1:36" s="38" customFormat="1">
      <c r="A307" s="40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</row>
    <row r="308" spans="1:36" s="38" customFormat="1">
      <c r="A308" s="40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</row>
    <row r="309" spans="1:36" s="38" customFormat="1">
      <c r="A309" s="40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</row>
    <row r="310" spans="1:36" s="38" customFormat="1">
      <c r="A310" s="40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</row>
    <row r="311" spans="1:36" s="38" customFormat="1">
      <c r="A311" s="40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</row>
    <row r="312" spans="1:36" s="38" customFormat="1">
      <c r="A312" s="40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</row>
    <row r="313" spans="1:36" s="38" customFormat="1">
      <c r="A313" s="40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</row>
    <row r="314" spans="1:36" s="38" customFormat="1">
      <c r="A314" s="40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</row>
    <row r="315" spans="1:36" s="38" customFormat="1">
      <c r="A315" s="40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</row>
    <row r="316" spans="1:36" s="38" customFormat="1">
      <c r="A316" s="40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</row>
    <row r="317" spans="1:36" s="38" customFormat="1">
      <c r="A317" s="40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</row>
    <row r="318" spans="1:36" s="38" customFormat="1">
      <c r="A318" s="40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</row>
    <row r="319" spans="1:36" s="38" customFormat="1">
      <c r="A319" s="40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</row>
    <row r="320" spans="1:36" s="38" customFormat="1">
      <c r="A320" s="40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</row>
    <row r="321" spans="1:36" s="38" customFormat="1">
      <c r="A321" s="40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</row>
    <row r="322" spans="1:36" s="38" customFormat="1">
      <c r="A322" s="40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</row>
    <row r="323" spans="1:36" s="38" customFormat="1">
      <c r="A323" s="40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</row>
    <row r="324" spans="1:36" s="38" customFormat="1">
      <c r="A324" s="40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</row>
    <row r="325" spans="1:36" s="38" customFormat="1">
      <c r="A325" s="40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</row>
    <row r="326" spans="1:36" s="38" customFormat="1">
      <c r="A326" s="40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</row>
    <row r="327" spans="1:36" s="38" customFormat="1">
      <c r="A327" s="40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</row>
    <row r="328" spans="1:36" s="38" customFormat="1">
      <c r="A328" s="40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</row>
    <row r="329" spans="1:36" s="38" customFormat="1">
      <c r="A329" s="40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</row>
    <row r="330" spans="1:36" s="38" customFormat="1">
      <c r="A330" s="40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</row>
    <row r="331" spans="1:36" s="38" customFormat="1">
      <c r="A331" s="40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</row>
    <row r="332" spans="1:36" s="38" customFormat="1">
      <c r="A332" s="40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</row>
    <row r="333" spans="1:36" s="38" customFormat="1">
      <c r="A333" s="40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</row>
    <row r="334" spans="1:36" s="38" customFormat="1">
      <c r="A334" s="40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</row>
    <row r="335" spans="1:36" s="38" customFormat="1">
      <c r="A335" s="40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</row>
    <row r="336" spans="1:36" s="38" customFormat="1">
      <c r="A336" s="40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</row>
    <row r="337" spans="1:36" s="38" customFormat="1">
      <c r="A337" s="40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</row>
    <row r="338" spans="1:36" s="38" customFormat="1">
      <c r="A338" s="40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</row>
    <row r="339" spans="1:36" s="38" customFormat="1">
      <c r="A339" s="40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</row>
    <row r="340" spans="1:36" s="38" customFormat="1">
      <c r="A340" s="40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</row>
    <row r="341" spans="1:36" s="38" customFormat="1">
      <c r="A341" s="40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</row>
    <row r="342" spans="1:36" s="38" customFormat="1">
      <c r="A342" s="40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</row>
    <row r="343" spans="1:36" s="38" customFormat="1">
      <c r="A343" s="40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</row>
    <row r="344" spans="1:36" s="38" customFormat="1">
      <c r="A344" s="40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</row>
    <row r="345" spans="1:36" s="38" customFormat="1">
      <c r="A345" s="40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</row>
    <row r="346" spans="1:36" s="38" customFormat="1">
      <c r="A346" s="40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</row>
    <row r="347" spans="1:36" s="38" customFormat="1">
      <c r="A347" s="40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</row>
    <row r="348" spans="1:36" s="38" customFormat="1">
      <c r="A348" s="40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</row>
    <row r="349" spans="1:36" s="38" customFormat="1">
      <c r="A349" s="40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</row>
    <row r="350" spans="1:36" s="38" customFormat="1">
      <c r="A350" s="40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</row>
    <row r="351" spans="1:36" s="38" customFormat="1">
      <c r="A351" s="40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</row>
    <row r="352" spans="1:36" s="38" customFormat="1">
      <c r="A352" s="40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</row>
    <row r="353" spans="1:36" s="38" customFormat="1">
      <c r="A353" s="40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</row>
    <row r="354" spans="1:36" s="38" customFormat="1">
      <c r="A354" s="40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</row>
    <row r="355" spans="1:36" s="38" customFormat="1">
      <c r="A355" s="40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</row>
    <row r="356" spans="1:36" s="38" customFormat="1">
      <c r="A356" s="40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</row>
    <row r="357" spans="1:36" s="38" customFormat="1">
      <c r="A357" s="40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</row>
    <row r="358" spans="1:36" s="38" customFormat="1">
      <c r="A358" s="40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</row>
    <row r="359" spans="1:36" s="38" customFormat="1">
      <c r="A359" s="40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</row>
    <row r="360" spans="1:36" s="38" customFormat="1">
      <c r="A360" s="40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</row>
    <row r="361" spans="1:36" s="38" customFormat="1">
      <c r="A361" s="40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</row>
    <row r="362" spans="1:36" s="38" customFormat="1">
      <c r="A362" s="40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</row>
    <row r="363" spans="1:36" s="38" customFormat="1">
      <c r="A363" s="40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</row>
    <row r="364" spans="1:36" s="38" customFormat="1">
      <c r="A364" s="40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</row>
    <row r="365" spans="1:36" s="38" customFormat="1">
      <c r="A365" s="40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</row>
    <row r="366" spans="1:36" s="38" customFormat="1">
      <c r="A366" s="40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</row>
    <row r="367" spans="1:36" s="38" customFormat="1">
      <c r="A367" s="40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</row>
    <row r="368" spans="1:36" s="38" customFormat="1">
      <c r="A368" s="40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</row>
    <row r="369" spans="1:36" s="38" customFormat="1">
      <c r="A369" s="40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</row>
    <row r="370" spans="1:36" s="38" customFormat="1">
      <c r="A370" s="40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</row>
    <row r="371" spans="1:36" s="38" customFormat="1">
      <c r="A371" s="40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</row>
    <row r="372" spans="1:36" s="38" customFormat="1">
      <c r="A372" s="40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</row>
    <row r="373" spans="1:36" s="38" customFormat="1">
      <c r="A373" s="40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</row>
    <row r="374" spans="1:36" s="38" customFormat="1">
      <c r="A374" s="40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</row>
    <row r="375" spans="1:36" s="38" customFormat="1">
      <c r="A375" s="40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</row>
    <row r="376" spans="1:36" s="38" customFormat="1">
      <c r="A376" s="40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</row>
    <row r="377" spans="1:36" s="38" customFormat="1">
      <c r="A377" s="40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</row>
    <row r="378" spans="1:36" s="38" customFormat="1">
      <c r="A378" s="40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</row>
    <row r="379" spans="1:36" s="38" customFormat="1">
      <c r="A379" s="40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</row>
    <row r="380" spans="1:36" s="38" customFormat="1">
      <c r="A380" s="40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</row>
    <row r="381" spans="1:36" s="38" customFormat="1">
      <c r="A381" s="40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</row>
    <row r="382" spans="1:36" s="38" customFormat="1">
      <c r="A382" s="40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</row>
    <row r="383" spans="1:36" s="38" customFormat="1">
      <c r="A383" s="40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</row>
    <row r="384" spans="1:36" s="38" customFormat="1">
      <c r="A384" s="40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</row>
    <row r="385" spans="1:36" s="38" customFormat="1">
      <c r="A385" s="40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</row>
    <row r="386" spans="1:36" s="38" customFormat="1">
      <c r="A386" s="40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</row>
    <row r="387" spans="1:36" s="38" customFormat="1">
      <c r="A387" s="40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</row>
    <row r="388" spans="1:36" s="38" customFormat="1">
      <c r="A388" s="40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</row>
    <row r="389" spans="1:36" s="38" customFormat="1">
      <c r="A389" s="40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</row>
    <row r="390" spans="1:36" s="38" customFormat="1">
      <c r="A390" s="40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</row>
    <row r="391" spans="1:36" s="38" customFormat="1">
      <c r="A391" s="40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</row>
    <row r="392" spans="1:36" s="38" customFormat="1">
      <c r="A392" s="40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</row>
    <row r="393" spans="1:36" s="38" customFormat="1">
      <c r="A393" s="40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</row>
    <row r="394" spans="1:36" s="38" customFormat="1">
      <c r="A394" s="40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</row>
    <row r="395" spans="1:36" s="38" customFormat="1">
      <c r="A395" s="40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</row>
    <row r="396" spans="1:36" s="38" customFormat="1">
      <c r="A396" s="40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</row>
    <row r="397" spans="1:36" s="38" customFormat="1">
      <c r="A397" s="40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F397" s="37"/>
      <c r="AG397" s="37"/>
      <c r="AH397" s="37"/>
      <c r="AI397" s="37"/>
      <c r="AJ397" s="37"/>
    </row>
  </sheetData>
  <mergeCells count="114">
    <mergeCell ref="Z1:AH1"/>
    <mergeCell ref="A3:AH3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AB7:AB8"/>
    <mergeCell ref="AC7:AE7"/>
    <mergeCell ref="AF7:AG7"/>
    <mergeCell ref="AH7:AH8"/>
    <mergeCell ref="AI7:AJ7"/>
    <mergeCell ref="A10:AH10"/>
    <mergeCell ref="Q7:Q8"/>
    <mergeCell ref="R7:S7"/>
    <mergeCell ref="T7:U7"/>
    <mergeCell ref="V7:V8"/>
    <mergeCell ref="W7:Y7"/>
    <mergeCell ref="Z7:AA7"/>
    <mergeCell ref="E7:F7"/>
    <mergeCell ref="G7:G8"/>
    <mergeCell ref="I7:I8"/>
    <mergeCell ref="J7:K7"/>
    <mergeCell ref="M7:M8"/>
    <mergeCell ref="N7:O7"/>
    <mergeCell ref="A30:B30"/>
    <mergeCell ref="A31:B31"/>
    <mergeCell ref="C31:E31"/>
    <mergeCell ref="A36:B36"/>
    <mergeCell ref="A37:B37"/>
    <mergeCell ref="C37:E37"/>
    <mergeCell ref="B11:AH11"/>
    <mergeCell ref="A13:B13"/>
    <mergeCell ref="A16:B16"/>
    <mergeCell ref="A18:B18"/>
    <mergeCell ref="A24:B24"/>
    <mergeCell ref="C24:E24"/>
    <mergeCell ref="A15:B15"/>
    <mergeCell ref="A53:B53"/>
    <mergeCell ref="A54:B54"/>
    <mergeCell ref="C54:E54"/>
    <mergeCell ref="A57:C57"/>
    <mergeCell ref="A58:B58"/>
    <mergeCell ref="C58:E58"/>
    <mergeCell ref="A42:B42"/>
    <mergeCell ref="A43:B43"/>
    <mergeCell ref="C43:E43"/>
    <mergeCell ref="A45:B45"/>
    <mergeCell ref="A46:B46"/>
    <mergeCell ref="C46:E46"/>
    <mergeCell ref="A70:B70"/>
    <mergeCell ref="A71:B71"/>
    <mergeCell ref="C71:E71"/>
    <mergeCell ref="A74:B74"/>
    <mergeCell ref="A75:B75"/>
    <mergeCell ref="C75:E75"/>
    <mergeCell ref="A61:B61"/>
    <mergeCell ref="A62:B62"/>
    <mergeCell ref="C62:E62"/>
    <mergeCell ref="A65:B65"/>
    <mergeCell ref="A66:B66"/>
    <mergeCell ref="C66:E66"/>
    <mergeCell ref="A88:B88"/>
    <mergeCell ref="C88:E88"/>
    <mergeCell ref="A91:B91"/>
    <mergeCell ref="A92:B92"/>
    <mergeCell ref="A95:B95"/>
    <mergeCell ref="A96:B96"/>
    <mergeCell ref="C96:E96"/>
    <mergeCell ref="A77:B77"/>
    <mergeCell ref="A80:B80"/>
    <mergeCell ref="A81:B81"/>
    <mergeCell ref="A85:B85"/>
    <mergeCell ref="A87:B87"/>
    <mergeCell ref="A84:B84"/>
    <mergeCell ref="A110:B110"/>
    <mergeCell ref="C110:E110"/>
    <mergeCell ref="A116:C116"/>
    <mergeCell ref="B118:AH118"/>
    <mergeCell ref="A127:B127"/>
    <mergeCell ref="A101:C101"/>
    <mergeCell ref="A102:B102"/>
    <mergeCell ref="A105:B105"/>
    <mergeCell ref="A106:B106"/>
    <mergeCell ref="C106:E106"/>
    <mergeCell ref="A109:B109"/>
    <mergeCell ref="A113:B113"/>
    <mergeCell ref="A164:B164"/>
    <mergeCell ref="A166:C166"/>
    <mergeCell ref="A146:B146"/>
    <mergeCell ref="A148:B148"/>
    <mergeCell ref="A151:B151"/>
    <mergeCell ref="A153:B153"/>
    <mergeCell ref="A155:B155"/>
    <mergeCell ref="A162:B162"/>
    <mergeCell ref="A129:B129"/>
    <mergeCell ref="A132:B132"/>
    <mergeCell ref="A135:B135"/>
    <mergeCell ref="A139:B139"/>
    <mergeCell ref="A141:B141"/>
    <mergeCell ref="A144:B144"/>
  </mergeCells>
  <pageMargins left="0.59055118110236227" right="0.59055118110236227" top="0.59055118110236227" bottom="0.59055118110236227" header="0.39370078740157483" footer="0.51181102362204722"/>
  <pageSetup paperSize="9" scale="34" firstPageNumber="52" fitToHeight="26" orientation="landscape" useFirstPageNumber="1" r:id="rId1"/>
  <headerFooter alignWithMargins="0">
    <oddHeader>&amp;C&amp;14&amp;P</oddHeader>
  </headerFooter>
  <rowBreaks count="1" manualBreakCount="1">
    <brk id="126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14.10.2024 уточ мост</vt:lpstr>
      <vt:lpstr>'14.10.2024 уточ мост'!Заголовки_для_печати</vt:lpstr>
      <vt:lpstr>'14.10.2024 уточ мост'!Область_печати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2024-10-17T14:05:17Z</cp:lastPrinted>
  <dcterms:created xsi:type="dcterms:W3CDTF">2023-06-29T08:05:20Z</dcterms:created>
  <dcterms:modified xsi:type="dcterms:W3CDTF">2024-10-18T12:05:44Z</dcterms:modified>
</cp:coreProperties>
</file>