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4270" windowHeight="12525"/>
  </bookViews>
  <sheets>
    <sheet name="08.04.2024 Чернянка" sheetId="57" r:id="rId1"/>
  </sheets>
  <definedNames>
    <definedName name="_xlnm.Print_Titles" localSheetId="0">'08.04.2024 Чернянка'!$5:$8</definedName>
    <definedName name="_xlnm.Print_Area" localSheetId="0">'08.04.2024 Чернянка'!$A$1:$V$145</definedName>
  </definedNames>
  <calcPr calcId="124519"/>
</workbook>
</file>

<file path=xl/calcChain.xml><?xml version="1.0" encoding="utf-8"?>
<calcChain xmlns="http://schemas.openxmlformats.org/spreadsheetml/2006/main">
  <c r="F123" i="57"/>
  <c r="G123" s="1"/>
  <c r="L140"/>
  <c r="L137" s="1"/>
  <c r="K140"/>
  <c r="K137" s="1"/>
  <c r="J140"/>
  <c r="I140"/>
  <c r="G140"/>
  <c r="G139"/>
  <c r="E139"/>
  <c r="F138"/>
  <c r="G138" s="1"/>
  <c r="G137" s="1"/>
  <c r="V137"/>
  <c r="U137"/>
  <c r="T137"/>
  <c r="R137"/>
  <c r="J137"/>
  <c r="I137"/>
  <c r="H137"/>
  <c r="E137"/>
  <c r="C137"/>
  <c r="G136"/>
  <c r="G135"/>
  <c r="G134"/>
  <c r="G133"/>
  <c r="G130" s="1"/>
  <c r="U132"/>
  <c r="V130"/>
  <c r="U130"/>
  <c r="T130"/>
  <c r="R130"/>
  <c r="F130"/>
  <c r="E130"/>
  <c r="C130"/>
  <c r="F129"/>
  <c r="G129"/>
  <c r="F128"/>
  <c r="G128" s="1"/>
  <c r="F127"/>
  <c r="G127" s="1"/>
  <c r="F126"/>
  <c r="G126" s="1"/>
  <c r="F125"/>
  <c r="G125" s="1"/>
  <c r="F124"/>
  <c r="G124" s="1"/>
  <c r="G122"/>
  <c r="F122"/>
  <c r="F121"/>
  <c r="G121" s="1"/>
  <c r="V120"/>
  <c r="U120"/>
  <c r="T120"/>
  <c r="R120"/>
  <c r="C120"/>
  <c r="L119"/>
  <c r="L115" s="1"/>
  <c r="H119"/>
  <c r="G118"/>
  <c r="C118"/>
  <c r="C115" s="1"/>
  <c r="G117"/>
  <c r="G115" s="1"/>
  <c r="G116"/>
  <c r="V115"/>
  <c r="U115"/>
  <c r="T115"/>
  <c r="R115"/>
  <c r="K115"/>
  <c r="J115"/>
  <c r="H115"/>
  <c r="F115"/>
  <c r="E115"/>
  <c r="U112"/>
  <c r="V112" s="1"/>
  <c r="V111" s="1"/>
  <c r="T111"/>
  <c r="R111"/>
  <c r="G111"/>
  <c r="F111"/>
  <c r="E111"/>
  <c r="C111"/>
  <c r="G110"/>
  <c r="F110"/>
  <c r="F109"/>
  <c r="G109" s="1"/>
  <c r="G108"/>
  <c r="F108"/>
  <c r="F107"/>
  <c r="G107" s="1"/>
  <c r="G106"/>
  <c r="F106"/>
  <c r="F105"/>
  <c r="G105" s="1"/>
  <c r="G104"/>
  <c r="F104"/>
  <c r="F103"/>
  <c r="G103" s="1"/>
  <c r="G102"/>
  <c r="F102"/>
  <c r="W101"/>
  <c r="V101"/>
  <c r="V100" s="1"/>
  <c r="U101"/>
  <c r="U100" s="1"/>
  <c r="R101"/>
  <c r="F101"/>
  <c r="G101" s="1"/>
  <c r="W100"/>
  <c r="T100"/>
  <c r="R100"/>
  <c r="E100"/>
  <c r="C100"/>
  <c r="U98"/>
  <c r="V98" s="1"/>
  <c r="V97" s="1"/>
  <c r="U97"/>
  <c r="T97"/>
  <c r="S97"/>
  <c r="R97"/>
  <c r="G97"/>
  <c r="F97"/>
  <c r="E97"/>
  <c r="D97"/>
  <c r="C97"/>
  <c r="F96"/>
  <c r="G96" s="1"/>
  <c r="G95"/>
  <c r="F95"/>
  <c r="F93" s="1"/>
  <c r="F92" s="1"/>
  <c r="F94"/>
  <c r="G94" s="1"/>
  <c r="G93" s="1"/>
  <c r="G92" s="1"/>
  <c r="V93"/>
  <c r="V92" s="1"/>
  <c r="U93"/>
  <c r="U92" s="1"/>
  <c r="E93"/>
  <c r="C93"/>
  <c r="T92"/>
  <c r="R92"/>
  <c r="E92"/>
  <c r="C92"/>
  <c r="G91"/>
  <c r="G90" s="1"/>
  <c r="V90"/>
  <c r="U90"/>
  <c r="T90"/>
  <c r="R90"/>
  <c r="F90"/>
  <c r="E90"/>
  <c r="C90"/>
  <c r="F89"/>
  <c r="G89" s="1"/>
  <c r="G88"/>
  <c r="F88"/>
  <c r="F87"/>
  <c r="G87" s="1"/>
  <c r="G86"/>
  <c r="F86"/>
  <c r="C85"/>
  <c r="V84"/>
  <c r="U84"/>
  <c r="T84"/>
  <c r="R84"/>
  <c r="G84"/>
  <c r="F84"/>
  <c r="E84"/>
  <c r="C84"/>
  <c r="V80"/>
  <c r="U80"/>
  <c r="T80"/>
  <c r="R80"/>
  <c r="G80"/>
  <c r="F80"/>
  <c r="E80"/>
  <c r="C80"/>
  <c r="G79"/>
  <c r="F79"/>
  <c r="F78"/>
  <c r="G78" s="1"/>
  <c r="C77"/>
  <c r="V76"/>
  <c r="U76"/>
  <c r="T76"/>
  <c r="R76"/>
  <c r="G76"/>
  <c r="F76"/>
  <c r="E76"/>
  <c r="C76"/>
  <c r="G75"/>
  <c r="F75"/>
  <c r="F74"/>
  <c r="G74" s="1"/>
  <c r="G73"/>
  <c r="F73"/>
  <c r="F72"/>
  <c r="G72" s="1"/>
  <c r="G71"/>
  <c r="F71"/>
  <c r="F70"/>
  <c r="G70" s="1"/>
  <c r="G66" s="1"/>
  <c r="G65" s="1"/>
  <c r="G69"/>
  <c r="F69"/>
  <c r="U68"/>
  <c r="U67"/>
  <c r="T67"/>
  <c r="R67"/>
  <c r="U66"/>
  <c r="V66" s="1"/>
  <c r="V65" s="1"/>
  <c r="E66"/>
  <c r="C66"/>
  <c r="T65"/>
  <c r="R65"/>
  <c r="E65"/>
  <c r="C65"/>
  <c r="G64"/>
  <c r="F64"/>
  <c r="E64"/>
  <c r="G63"/>
  <c r="F63"/>
  <c r="G62"/>
  <c r="F62"/>
  <c r="G61"/>
  <c r="F61"/>
  <c r="G60"/>
  <c r="F60"/>
  <c r="G59"/>
  <c r="F59"/>
  <c r="G58"/>
  <c r="F58"/>
  <c r="G57"/>
  <c r="F57"/>
  <c r="G56"/>
  <c r="F56"/>
  <c r="V55"/>
  <c r="V53" s="1"/>
  <c r="G55"/>
  <c r="G53" s="1"/>
  <c r="F55"/>
  <c r="U53"/>
  <c r="T53"/>
  <c r="R53"/>
  <c r="F53"/>
  <c r="E53"/>
  <c r="C53"/>
  <c r="J50"/>
  <c r="L50" s="1"/>
  <c r="L49"/>
  <c r="K49" s="1"/>
  <c r="G48"/>
  <c r="G47"/>
  <c r="C47"/>
  <c r="G46"/>
  <c r="V44"/>
  <c r="U44"/>
  <c r="T44"/>
  <c r="R44"/>
  <c r="H44"/>
  <c r="G44"/>
  <c r="F44"/>
  <c r="E44"/>
  <c r="C44"/>
  <c r="L43"/>
  <c r="L40" s="1"/>
  <c r="I43"/>
  <c r="V40"/>
  <c r="U40"/>
  <c r="T40"/>
  <c r="T11" s="1"/>
  <c r="R40"/>
  <c r="R11" s="1"/>
  <c r="K40"/>
  <c r="J40"/>
  <c r="I40"/>
  <c r="I11" s="1"/>
  <c r="G40"/>
  <c r="F40"/>
  <c r="E40"/>
  <c r="C40"/>
  <c r="K39"/>
  <c r="L39" s="1"/>
  <c r="G39"/>
  <c r="L38"/>
  <c r="K38"/>
  <c r="J38"/>
  <c r="H38"/>
  <c r="H28" s="1"/>
  <c r="H11" s="1"/>
  <c r="G37"/>
  <c r="G36"/>
  <c r="G35"/>
  <c r="G34"/>
  <c r="G33"/>
  <c r="G32"/>
  <c r="G31"/>
  <c r="V28"/>
  <c r="U28"/>
  <c r="T28"/>
  <c r="R28"/>
  <c r="L28"/>
  <c r="K28"/>
  <c r="J28"/>
  <c r="G28"/>
  <c r="F28"/>
  <c r="E28"/>
  <c r="C28"/>
  <c r="G27"/>
  <c r="F27"/>
  <c r="F26"/>
  <c r="G26" s="1"/>
  <c r="G25"/>
  <c r="F25"/>
  <c r="F24"/>
  <c r="G24" s="1"/>
  <c r="G23"/>
  <c r="F23"/>
  <c r="F22"/>
  <c r="G22" s="1"/>
  <c r="G21"/>
  <c r="F21"/>
  <c r="F20"/>
  <c r="G20" s="1"/>
  <c r="G19"/>
  <c r="F19"/>
  <c r="F18"/>
  <c r="G18" s="1"/>
  <c r="G17"/>
  <c r="F17"/>
  <c r="V16"/>
  <c r="F16"/>
  <c r="F15" s="1"/>
  <c r="E16"/>
  <c r="E15" s="1"/>
  <c r="C16"/>
  <c r="C15" s="1"/>
  <c r="C11" s="1"/>
  <c r="V15"/>
  <c r="S11"/>
  <c r="D11"/>
  <c r="K50" l="1"/>
  <c r="K44" s="1"/>
  <c r="L44"/>
  <c r="L14" s="1"/>
  <c r="V11"/>
  <c r="G120"/>
  <c r="L11"/>
  <c r="G16"/>
  <c r="G15" s="1"/>
  <c r="G100"/>
  <c r="J44"/>
  <c r="J11" s="1"/>
  <c r="U65"/>
  <c r="F66"/>
  <c r="F65" s="1"/>
  <c r="U111"/>
  <c r="F120"/>
  <c r="F100"/>
  <c r="E120"/>
  <c r="E11" s="1"/>
  <c r="W11" s="1"/>
  <c r="F137"/>
  <c r="F11" l="1"/>
  <c r="X11" s="1"/>
  <c r="K11"/>
  <c r="K13"/>
  <c r="G14"/>
  <c r="G11"/>
  <c r="Z11" s="1"/>
  <c r="F13"/>
  <c r="U11"/>
</calcChain>
</file>

<file path=xl/sharedStrings.xml><?xml version="1.0" encoding="utf-8"?>
<sst xmlns="http://schemas.openxmlformats.org/spreadsheetml/2006/main" count="178" uniqueCount="148">
  <si>
    <t>№ п/п</t>
  </si>
  <si>
    <t>Наименование районов, городских округов, поселений, населенных пунктов</t>
  </si>
  <si>
    <t>в том числе</t>
  </si>
  <si>
    <t>Стоимость ВСЕГО,                      тыс. рублей</t>
  </si>
  <si>
    <t>муници-пальный бюджет</t>
  </si>
  <si>
    <t>ВСЕГО</t>
  </si>
  <si>
    <t>в том числе:</t>
  </si>
  <si>
    <t>Алексеевский городской округ</t>
  </si>
  <si>
    <t>Белгородский район</t>
  </si>
  <si>
    <t>Борисовский район</t>
  </si>
  <si>
    <t>Валуйский городской округ</t>
  </si>
  <si>
    <t>Вейделевский район</t>
  </si>
  <si>
    <t>Волоконовский район</t>
  </si>
  <si>
    <t>Грайворонский городской округ</t>
  </si>
  <si>
    <t>Губкинский городской округ</t>
  </si>
  <si>
    <t>Ивнянский район</t>
  </si>
  <si>
    <t>Корочанский район</t>
  </si>
  <si>
    <t>Красненский район</t>
  </si>
  <si>
    <t>Красногвардейский район</t>
  </si>
  <si>
    <t>Новооскольский городской округ</t>
  </si>
  <si>
    <t>Прохоровский район</t>
  </si>
  <si>
    <t xml:space="preserve">   </t>
  </si>
  <si>
    <t>Ракитянский район</t>
  </si>
  <si>
    <t>Ровеньский район</t>
  </si>
  <si>
    <t>Старооскольский городской округ</t>
  </si>
  <si>
    <t>Чернянский район</t>
  </si>
  <si>
    <t>Яковлевский городской округ</t>
  </si>
  <si>
    <t>г. Белгород</t>
  </si>
  <si>
    <t>Стоимость ВСЕГО,                   тыс. рублей</t>
  </si>
  <si>
    <t xml:space="preserve">           </t>
  </si>
  <si>
    <t xml:space="preserve">     </t>
  </si>
  <si>
    <t xml:space="preserve">    </t>
  </si>
  <si>
    <t xml:space="preserve"> </t>
  </si>
  <si>
    <t>субсидии               из областного бюджета</t>
  </si>
  <si>
    <t>субсидии       из областного бюджета</t>
  </si>
  <si>
    <t>областной бюджет</t>
  </si>
  <si>
    <t>2024 год</t>
  </si>
  <si>
    <t>Краснояружский  район</t>
  </si>
  <si>
    <t>Протяженность</t>
  </si>
  <si>
    <t xml:space="preserve">км </t>
  </si>
  <si>
    <t>п.м</t>
  </si>
  <si>
    <t>субсидии из областного бюджета</t>
  </si>
  <si>
    <t>средства  бюджетов муниципальных образований</t>
  </si>
  <si>
    <t>2025 год</t>
  </si>
  <si>
    <t>2026 год</t>
  </si>
  <si>
    <t>2027 год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</si>
  <si>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</si>
  <si>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>Отремонтировано автодорог и мостов местного значения</t>
  </si>
  <si>
    <t>МКР ИЖС «Шишино - 84»</t>
  </si>
  <si>
    <t>МКР ИЖС «Майский - 8»</t>
  </si>
  <si>
    <t>МКР ИЖС «Майский - 80»</t>
  </si>
  <si>
    <t>МКР ИЖС «Разумное - 81»</t>
  </si>
  <si>
    <t>МКР ИЖС «Пушкарное - 78»</t>
  </si>
  <si>
    <t>с. Грузское, ул. Вершина</t>
  </si>
  <si>
    <t>Ремонт улично-дорожной сети района</t>
  </si>
  <si>
    <t>х. Постников (в щебне)</t>
  </si>
  <si>
    <t>с. Анновка, ул. Центральная</t>
  </si>
  <si>
    <t>с. Ливенка, ул. Набережная</t>
  </si>
  <si>
    <t>Ремонт автодорог в МКР ИЖС «Пролески»</t>
  </si>
  <si>
    <t>г. Строитель, ул. Конева, ул. Жукова</t>
  </si>
  <si>
    <t>МКР ИЖС Пушкарное,                                                                   проезд между ул. Ратная и ул. Дозорная</t>
  </si>
  <si>
    <t>п. Чернянка, ул. Гоголя</t>
  </si>
  <si>
    <t>п. Чернянка, ул. Кольцова - ул. Урицкого</t>
  </si>
  <si>
    <t>с. Кривцово, ул. Привольная</t>
  </si>
  <si>
    <t>с. Репное, МКР «Европа», ул. Парижская</t>
  </si>
  <si>
    <t xml:space="preserve">п. Волоконовка, ул. Королева </t>
  </si>
  <si>
    <t xml:space="preserve">х. Волчий, ул. Калинина </t>
  </si>
  <si>
    <t xml:space="preserve">с. Новоселовка, ул. Речная </t>
  </si>
  <si>
    <t>с. Подольхи, ул. Колхозная</t>
  </si>
  <si>
    <t>с. Казачье, ул. Солнечная</t>
  </si>
  <si>
    <t>с. Казачье, ул. Береговая</t>
  </si>
  <si>
    <t>п. Уразово</t>
  </si>
  <si>
    <t>п. Чернянка, ул. Есенина</t>
  </si>
  <si>
    <t>п. Чернянка ул. Крупской</t>
  </si>
  <si>
    <t>п. Чернянка ул. Садовая</t>
  </si>
  <si>
    <t>п. Чернянка ул. Ломоносова</t>
  </si>
  <si>
    <t>п. Прохоровка, ул. Ивана Гнездилова</t>
  </si>
  <si>
    <t xml:space="preserve">г. Алексеевка, ул. Л. Толстого        </t>
  </si>
  <si>
    <t>г. Алексеевка, ул. Кривошеина</t>
  </si>
  <si>
    <t xml:space="preserve">г. Алексеевка, ул. Тихая Сосна </t>
  </si>
  <si>
    <t xml:space="preserve">г. Алексеевка, ул. Песчаная </t>
  </si>
  <si>
    <t>г. Алексеевка, ул. Каштановая</t>
  </si>
  <si>
    <t xml:space="preserve">г. Алексеевка, ул. Мостовая </t>
  </si>
  <si>
    <t>г. Грайворон, ул. Пролетарская</t>
  </si>
  <si>
    <t xml:space="preserve">г. Грайворон, ул. Горького </t>
  </si>
  <si>
    <t xml:space="preserve">с. Глотово, ул. Братьев Краснокутских </t>
  </si>
  <si>
    <t>с. Новостроевка-Первая, ул. Первомайская</t>
  </si>
  <si>
    <t>Ремонт улично-дорожной сети района, в том числе</t>
  </si>
  <si>
    <t>Ремонт улично-дорожной сети городского округа,                в том числе</t>
  </si>
  <si>
    <t>с. Готовье, ул. Молодежная</t>
  </si>
  <si>
    <t>с. Ураково, ул. Пролетарская</t>
  </si>
  <si>
    <t>Ремонт автодороги к СНТ «Авиатор»</t>
  </si>
  <si>
    <t>с. Городище</t>
  </si>
  <si>
    <t>х. Новочеркасский, подъезд к кладбищу</t>
  </si>
  <si>
    <t>с. Красное, пер. Подгорный, пер. Восточный</t>
  </si>
  <si>
    <t>с. Сетище, ул. Прудовая, ул. Лесная</t>
  </si>
  <si>
    <t>Ремонт автодороги по ул. 1 Мая в г. Валуйки</t>
  </si>
  <si>
    <t xml:space="preserve">Приложение № 9                                                                                                                                                  к государственной программе Белгородской области «Совершенствование и развитие транспортной системы                                и дорожной сети  Белгородской области»  </t>
  </si>
  <si>
    <t>г. Алексеевка, ул. Маяковского</t>
  </si>
  <si>
    <t>г. Алексеевка, пер. Острогожский</t>
  </si>
  <si>
    <t xml:space="preserve">г. Алексеевка, ул. Нижняя </t>
  </si>
  <si>
    <t>Ремонт автодороги от подсобного хозяйства                             (с. Новая Симоновка) до Свято-Николаевского собора (МКР Раздолье)</t>
  </si>
  <si>
    <t xml:space="preserve">с. Головчино, ул. Карла Маркса </t>
  </si>
  <si>
    <t>п. Чернянка, ул. Комарова</t>
  </si>
  <si>
    <t xml:space="preserve">п. Красная Яруга, ул. Народная - ул. Набережная </t>
  </si>
  <si>
    <t xml:space="preserve">п. Красная Яруга, ул. Почтовая </t>
  </si>
  <si>
    <t xml:space="preserve"> п. Ракитное, ул. Призаводская, ул. Заводская</t>
  </si>
  <si>
    <t>ремонт автодороги                                                                                                                                   с. Покровка - х. Красная Поляна - х. Береговой</t>
  </si>
  <si>
    <t>п. Ивня, ул. Транспортная</t>
  </si>
  <si>
    <t>г. Новый Оскол, ул. Успенская - ул. Кирова</t>
  </si>
  <si>
    <t>с. Новоречье, ул. Центральная</t>
  </si>
  <si>
    <t>с. Новоречье, ул.Молодежная</t>
  </si>
  <si>
    <t xml:space="preserve"> г. Алексеевка, ул. Н. Рубана                </t>
  </si>
  <si>
    <t>г. Алексеевка, пер. Фрунзе</t>
  </si>
  <si>
    <t>с. Казачье, ул. Тихая</t>
  </si>
  <si>
    <t>с. Фощеватово, ул. Лесная</t>
  </si>
  <si>
    <t>с. Фощеватово, ул. Петровская</t>
  </si>
  <si>
    <t>с. Фощеватово, ул. Горная</t>
  </si>
  <si>
    <t>с. Фощеватово, ул. Набережная</t>
  </si>
  <si>
    <t>с. Фощеватово, ул. Раздольная</t>
  </si>
  <si>
    <t>х. Волчий Первый, ул. Дачная</t>
  </si>
  <si>
    <t>с. Шеншиновка, ул. Садовая</t>
  </si>
  <si>
    <t>п. Волоконовка, ул. Сибирский Проезд</t>
  </si>
  <si>
    <t>Ремонт мостов через реку Локня                                                            в с.Красный Куток</t>
  </si>
  <si>
    <t>г. Валуйки, ул. Никольская</t>
  </si>
  <si>
    <t>с. Глотово, ул. Братьев Краснокутских (II очередь)</t>
  </si>
  <si>
    <t>х. Тополи - с. Антоновка</t>
  </si>
  <si>
    <t xml:space="preserve">Капитальный ремонт моста в г. Новый Оскол,                   ул. 1 Мая </t>
  </si>
  <si>
    <t>с. Сорокино, ул. Тракторная, ул. Дачная,                            п. Аксеновка, ул. Песочная</t>
  </si>
  <si>
    <t xml:space="preserve">  </t>
  </si>
  <si>
    <t>с. Камышевка, ул. Волошенко</t>
  </si>
  <si>
    <t>с. Верхний Ольшанец, ул. Садовая</t>
  </si>
  <si>
    <t>п. Яковлево, ул. Южная</t>
  </si>
  <si>
    <t>с. Гостищево, подъезд к кладбищу</t>
  </si>
  <si>
    <t>с. Отрадовка, ул. Центральная - ул. Озерная</t>
  </si>
  <si>
    <t>Ремонт автодорог в МКР ИЖС, в том числе</t>
  </si>
  <si>
    <t>МКР ИЖС «Тополек»</t>
  </si>
  <si>
    <t>Ремонт улично-дорожной сети городского округа</t>
  </si>
  <si>
    <t>Капитальный ремонт пр. Ватутина от ул. 5 Августа                                                                                   до ул. Князя Трубецкого с капитальным ремонтом мостовых сооружений и путепровода</t>
  </si>
  <si>
    <t>Капитальный ремонт перекрестка                                               по пр.Б. Хмельницкого и ул. Супруновская                                      с обустройством транспортного светофора, наземного пешеходного перехода и остановки общественного транспорта</t>
  </si>
  <si>
    <t>Ремонт улично - дорожной сети города</t>
  </si>
  <si>
    <t xml:space="preserve"> Перечень объектов ремонта автодорог местного значения и искусственных сооружений на них в Белгородской области на 2024 - 2025 годы    </t>
  </si>
  <si>
    <t>Министр автомобильных дорог и транспорта Белгородской области</t>
  </si>
  <si>
    <t>С.В. Евтушенко</t>
  </si>
  <si>
    <t>п. Прохоровка, ул. Лермонтова</t>
  </si>
  <si>
    <r>
      <t>п</t>
    </r>
    <r>
      <rPr>
        <sz val="14"/>
        <color rgb="FF8B08BC"/>
        <rFont val="Times New Roman"/>
        <family val="1"/>
        <charset val="204"/>
      </rPr>
      <t xml:space="preserve">. </t>
    </r>
    <r>
      <rPr>
        <sz val="14"/>
        <rFont val="Times New Roman"/>
        <family val="1"/>
        <charset val="204"/>
      </rPr>
      <t xml:space="preserve">Прохоровка, 1-й Советский переулок </t>
    </r>
  </si>
  <si>
    <t>п. Прохоровка, ул. Советская</t>
  </si>
  <si>
    <t>Ремонт автодороги от с.Поминово до с. Гладково</t>
  </si>
</sst>
</file>

<file path=xl/styles.xml><?xml version="1.0" encoding="utf-8"?>
<styleSheet xmlns="http://schemas.openxmlformats.org/spreadsheetml/2006/main">
  <numFmts count="7">
    <numFmt numFmtId="164" formatCode="0.0"/>
    <numFmt numFmtId="165" formatCode="#,##0.0"/>
    <numFmt numFmtId="166" formatCode="#,##0.000"/>
    <numFmt numFmtId="167" formatCode="#,##0_р_."/>
    <numFmt numFmtId="168" formatCode="#,##0.0_р_."/>
    <numFmt numFmtId="169" formatCode="#,##0.000_р_."/>
    <numFmt numFmtId="170" formatCode="0.000"/>
  </numFmts>
  <fonts count="18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6"/>
      <name val="Arial"/>
      <family val="2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Helv"/>
      <charset val="204"/>
    </font>
    <font>
      <sz val="16"/>
      <name val="Helv"/>
    </font>
    <font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rgb="FF8B08BC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5" fillId="0" borderId="0"/>
  </cellStyleXfs>
  <cellXfs count="184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6" fillId="0" borderId="14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5" xfId="1" applyFont="1" applyFill="1" applyBorder="1" applyAlignment="1">
      <alignment horizontal="center" vertical="center" wrapText="1"/>
    </xf>
    <xf numFmtId="0" fontId="2" fillId="0" borderId="17" xfId="1" applyFill="1" applyBorder="1"/>
    <xf numFmtId="0" fontId="2" fillId="0" borderId="17" xfId="0" applyFont="1" applyFill="1" applyBorder="1"/>
    <xf numFmtId="0" fontId="2" fillId="0" borderId="16" xfId="0" applyFont="1" applyFill="1" applyBorder="1"/>
    <xf numFmtId="0" fontId="10" fillId="0" borderId="5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0" fontId="2" fillId="0" borderId="9" xfId="1" applyFill="1" applyBorder="1"/>
    <xf numFmtId="3" fontId="11" fillId="0" borderId="9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/>
    <xf numFmtId="165" fontId="11" fillId="0" borderId="9" xfId="1" applyNumberFormat="1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>
      <alignment horizontal="center" vertical="center" wrapText="1"/>
    </xf>
    <xf numFmtId="165" fontId="11" fillId="0" borderId="6" xfId="1" applyNumberFormat="1" applyFont="1" applyFill="1" applyBorder="1" applyAlignment="1">
      <alignment horizontal="center" vertical="center" wrapText="1"/>
    </xf>
    <xf numFmtId="3" fontId="11" fillId="0" borderId="8" xfId="1" applyNumberFormat="1" applyFont="1" applyFill="1" applyBorder="1" applyAlignment="1">
      <alignment horizontal="center" vertical="center" wrapText="1"/>
    </xf>
    <xf numFmtId="3" fontId="11" fillId="0" borderId="6" xfId="1" applyNumberFormat="1" applyFont="1" applyFill="1" applyBorder="1" applyAlignment="1">
      <alignment horizontal="center" vertical="center" wrapText="1"/>
    </xf>
    <xf numFmtId="166" fontId="2" fillId="0" borderId="9" xfId="0" applyNumberFormat="1" applyFont="1" applyFill="1" applyBorder="1"/>
    <xf numFmtId="165" fontId="11" fillId="0" borderId="10" xfId="1" applyNumberFormat="1" applyFont="1" applyFill="1" applyBorder="1" applyAlignment="1">
      <alignment horizontal="center" vertical="center" wrapText="1"/>
    </xf>
    <xf numFmtId="166" fontId="11" fillId="0" borderId="9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3" fontId="3" fillId="0" borderId="9" xfId="1" applyNumberFormat="1" applyFont="1" applyFill="1" applyBorder="1" applyAlignment="1">
      <alignment horizontal="center" vertical="center" wrapText="1"/>
    </xf>
    <xf numFmtId="164" fontId="11" fillId="0" borderId="9" xfId="1" applyNumberFormat="1" applyFont="1" applyFill="1" applyBorder="1" applyAlignment="1">
      <alignment horizontal="center" vertical="center" wrapText="1"/>
    </xf>
    <xf numFmtId="167" fontId="3" fillId="0" borderId="9" xfId="1" applyNumberFormat="1" applyFont="1" applyFill="1" applyBorder="1" applyAlignment="1">
      <alignment horizontal="center" vertical="center"/>
    </xf>
    <xf numFmtId="167" fontId="11" fillId="0" borderId="9" xfId="1" applyNumberFormat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 wrapText="1"/>
    </xf>
    <xf numFmtId="166" fontId="12" fillId="0" borderId="9" xfId="0" applyNumberFormat="1" applyFont="1" applyFill="1" applyBorder="1"/>
    <xf numFmtId="166" fontId="3" fillId="0" borderId="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10" xfId="0" applyFont="1" applyFill="1" applyBorder="1"/>
    <xf numFmtId="166" fontId="2" fillId="0" borderId="10" xfId="0" applyNumberFormat="1" applyFont="1" applyFill="1" applyBorder="1"/>
    <xf numFmtId="166" fontId="11" fillId="0" borderId="10" xfId="1" applyNumberFormat="1" applyFont="1" applyFill="1" applyBorder="1" applyAlignment="1">
      <alignment horizontal="center" vertical="center" wrapText="1"/>
    </xf>
    <xf numFmtId="166" fontId="12" fillId="0" borderId="10" xfId="0" applyNumberFormat="1" applyFont="1" applyFill="1" applyBorder="1"/>
    <xf numFmtId="0" fontId="2" fillId="0" borderId="18" xfId="0" applyFont="1" applyFill="1" applyBorder="1"/>
    <xf numFmtId="166" fontId="3" fillId="0" borderId="10" xfId="0" applyNumberFormat="1" applyFont="1" applyFill="1" applyBorder="1" applyAlignment="1">
      <alignment horizontal="center" vertical="center" wrapText="1"/>
    </xf>
    <xf numFmtId="164" fontId="3" fillId="0" borderId="9" xfId="1" applyNumberFormat="1" applyFont="1" applyFill="1" applyBorder="1" applyAlignment="1">
      <alignment horizontal="center" vertical="center" wrapText="1"/>
    </xf>
    <xf numFmtId="166" fontId="11" fillId="0" borderId="8" xfId="1" applyNumberFormat="1" applyFont="1" applyFill="1" applyBorder="1" applyAlignment="1">
      <alignment horizontal="center" vertical="center" wrapText="1"/>
    </xf>
    <xf numFmtId="165" fontId="4" fillId="0" borderId="9" xfId="1" applyNumberFormat="1" applyFont="1" applyFill="1" applyBorder="1" applyAlignment="1">
      <alignment horizontal="center" vertical="center" wrapText="1"/>
    </xf>
    <xf numFmtId="3" fontId="4" fillId="0" borderId="9" xfId="1" applyNumberFormat="1" applyFont="1" applyFill="1" applyBorder="1" applyAlignment="1">
      <alignment horizontal="center" vertical="center" wrapText="1"/>
    </xf>
    <xf numFmtId="166" fontId="13" fillId="0" borderId="9" xfId="0" applyNumberFormat="1" applyFont="1" applyFill="1" applyBorder="1"/>
    <xf numFmtId="166" fontId="3" fillId="0" borderId="9" xfId="1" applyNumberFormat="1" applyFont="1" applyFill="1" applyBorder="1" applyAlignment="1">
      <alignment horizontal="center" vertical="center" wrapText="1"/>
    </xf>
    <xf numFmtId="2" fontId="11" fillId="0" borderId="9" xfId="1" applyNumberFormat="1" applyFont="1" applyFill="1" applyBorder="1" applyAlignment="1">
      <alignment horizontal="center" vertical="center"/>
    </xf>
    <xf numFmtId="168" fontId="11" fillId="0" borderId="17" xfId="1" applyNumberFormat="1" applyFont="1" applyFill="1" applyBorder="1" applyAlignment="1">
      <alignment horizontal="center" vertical="center"/>
    </xf>
    <xf numFmtId="168" fontId="11" fillId="0" borderId="18" xfId="1" applyNumberFormat="1" applyFont="1" applyFill="1" applyBorder="1" applyAlignment="1">
      <alignment horizontal="center" vertical="center"/>
    </xf>
    <xf numFmtId="165" fontId="3" fillId="0" borderId="9" xfId="1" applyNumberFormat="1" applyFont="1" applyFill="1" applyBorder="1" applyAlignment="1">
      <alignment horizontal="center" vertical="center" wrapText="1"/>
    </xf>
    <xf numFmtId="170" fontId="3" fillId="0" borderId="9" xfId="1" applyNumberFormat="1" applyFont="1" applyFill="1" applyBorder="1" applyAlignment="1">
      <alignment horizontal="center" vertical="center" wrapText="1"/>
    </xf>
    <xf numFmtId="164" fontId="11" fillId="0" borderId="9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165" fontId="11" fillId="0" borderId="7" xfId="1" applyNumberFormat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2" fillId="0" borderId="0" xfId="0" applyFont="1" applyBorder="1"/>
    <xf numFmtId="0" fontId="2" fillId="0" borderId="9" xfId="0" applyFont="1" applyFill="1" applyBorder="1"/>
    <xf numFmtId="168" fontId="11" fillId="0" borderId="9" xfId="1" applyNumberFormat="1" applyFont="1" applyFill="1" applyBorder="1" applyAlignment="1">
      <alignment horizontal="center" vertical="center"/>
    </xf>
    <xf numFmtId="168" fontId="11" fillId="0" borderId="9" xfId="1" applyNumberFormat="1" applyFont="1" applyFill="1" applyBorder="1" applyAlignment="1">
      <alignment horizontal="center" vertical="center" wrapText="1"/>
    </xf>
    <xf numFmtId="4" fontId="11" fillId="0" borderId="9" xfId="1" applyNumberFormat="1" applyFont="1" applyFill="1" applyBorder="1" applyAlignment="1">
      <alignment horizontal="center" vertical="center" wrapText="1"/>
    </xf>
    <xf numFmtId="165" fontId="3" fillId="0" borderId="10" xfId="1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/>
    <xf numFmtId="165" fontId="3" fillId="0" borderId="6" xfId="1" applyNumberFormat="1" applyFont="1" applyFill="1" applyBorder="1" applyAlignment="1">
      <alignment horizontal="center" vertical="center" wrapText="1"/>
    </xf>
    <xf numFmtId="165" fontId="11" fillId="0" borderId="9" xfId="1" applyNumberFormat="1" applyFont="1" applyFill="1" applyBorder="1" applyAlignment="1">
      <alignment horizontal="center" vertical="center"/>
    </xf>
    <xf numFmtId="165" fontId="11" fillId="0" borderId="9" xfId="2" applyNumberFormat="1" applyFont="1" applyFill="1" applyBorder="1" applyAlignment="1">
      <alignment horizontal="center" vertical="center" wrapText="1"/>
    </xf>
    <xf numFmtId="3" fontId="3" fillId="0" borderId="9" xfId="2" applyNumberFormat="1" applyFont="1" applyFill="1" applyBorder="1" applyAlignment="1">
      <alignment horizontal="center" vertical="center" wrapText="1"/>
    </xf>
    <xf numFmtId="165" fontId="3" fillId="0" borderId="9" xfId="2" applyNumberFormat="1" applyFont="1" applyFill="1" applyBorder="1" applyAlignment="1">
      <alignment horizontal="center" vertical="center" wrapText="1"/>
    </xf>
    <xf numFmtId="169" fontId="3" fillId="0" borderId="9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2" fillId="0" borderId="0" xfId="0" applyNumberFormat="1" applyFont="1"/>
    <xf numFmtId="0" fontId="2" fillId="0" borderId="19" xfId="0" applyFont="1" applyFill="1" applyBorder="1"/>
    <xf numFmtId="0" fontId="2" fillId="0" borderId="8" xfId="0" applyFont="1" applyFill="1" applyBorder="1"/>
    <xf numFmtId="166" fontId="2" fillId="0" borderId="8" xfId="0" applyNumberFormat="1" applyFont="1" applyFill="1" applyBorder="1"/>
    <xf numFmtId="2" fontId="11" fillId="0" borderId="8" xfId="1" applyNumberFormat="1" applyFont="1" applyFill="1" applyBorder="1" applyAlignment="1">
      <alignment horizontal="center" vertical="center"/>
    </xf>
    <xf numFmtId="168" fontId="11" fillId="0" borderId="19" xfId="1" applyNumberFormat="1" applyFont="1" applyFill="1" applyBorder="1" applyAlignment="1">
      <alignment horizontal="center" vertical="center"/>
    </xf>
    <xf numFmtId="164" fontId="11" fillId="0" borderId="8" xfId="1" applyNumberFormat="1" applyFont="1" applyFill="1" applyBorder="1" applyAlignment="1">
      <alignment horizontal="center" vertical="center"/>
    </xf>
    <xf numFmtId="166" fontId="12" fillId="0" borderId="8" xfId="0" applyNumberFormat="1" applyFont="1" applyFill="1" applyBorder="1"/>
    <xf numFmtId="166" fontId="3" fillId="0" borderId="8" xfId="0" applyNumberFormat="1" applyFont="1" applyFill="1" applyBorder="1" applyAlignment="1">
      <alignment horizontal="center" vertical="center" wrapText="1"/>
    </xf>
    <xf numFmtId="167" fontId="3" fillId="0" borderId="11" xfId="1" applyNumberFormat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 wrapText="1"/>
    </xf>
    <xf numFmtId="168" fontId="3" fillId="0" borderId="9" xfId="1" applyNumberFormat="1" applyFont="1" applyFill="1" applyBorder="1" applyAlignment="1">
      <alignment horizontal="center" vertical="center"/>
    </xf>
    <xf numFmtId="165" fontId="2" fillId="0" borderId="0" xfId="0" applyNumberFormat="1" applyFont="1" applyBorder="1"/>
    <xf numFmtId="0" fontId="3" fillId="0" borderId="24" xfId="1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 wrapText="1"/>
    </xf>
    <xf numFmtId="166" fontId="3" fillId="0" borderId="10" xfId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25" xfId="0" applyFont="1" applyFill="1" applyBorder="1"/>
    <xf numFmtId="166" fontId="3" fillId="0" borderId="8" xfId="1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/>
    <xf numFmtId="165" fontId="2" fillId="0" borderId="9" xfId="0" applyNumberFormat="1" applyFont="1" applyFill="1" applyBorder="1"/>
    <xf numFmtId="165" fontId="2" fillId="0" borderId="10" xfId="0" applyNumberFormat="1" applyFont="1" applyFill="1" applyBorder="1"/>
    <xf numFmtId="0" fontId="2" fillId="0" borderId="0" xfId="0" applyFont="1" applyFill="1" applyBorder="1"/>
    <xf numFmtId="165" fontId="11" fillId="0" borderId="0" xfId="1" applyNumberFormat="1" applyFont="1" applyFill="1" applyBorder="1" applyAlignment="1">
      <alignment horizontal="center" vertical="center" wrapText="1"/>
    </xf>
    <xf numFmtId="165" fontId="3" fillId="0" borderId="9" xfId="1" applyNumberFormat="1" applyFont="1" applyFill="1" applyBorder="1" applyAlignment="1">
      <alignment horizontal="center" vertical="center"/>
    </xf>
    <xf numFmtId="165" fontId="3" fillId="0" borderId="8" xfId="1" applyNumberFormat="1" applyFont="1" applyFill="1" applyBorder="1" applyAlignment="1">
      <alignment horizontal="center" vertical="center"/>
    </xf>
    <xf numFmtId="165" fontId="3" fillId="0" borderId="11" xfId="1" applyNumberFormat="1" applyFont="1" applyFill="1" applyBorder="1" applyAlignment="1">
      <alignment horizontal="center" vertical="center"/>
    </xf>
    <xf numFmtId="3" fontId="11" fillId="0" borderId="11" xfId="1" applyNumberFormat="1" applyFont="1" applyFill="1" applyBorder="1" applyAlignment="1">
      <alignment horizontal="center" vertical="center" wrapText="1"/>
    </xf>
    <xf numFmtId="168" fontId="11" fillId="0" borderId="16" xfId="1" applyNumberFormat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169" fontId="3" fillId="0" borderId="8" xfId="1" applyNumberFormat="1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left" vertical="center" wrapText="1"/>
    </xf>
    <xf numFmtId="0" fontId="11" fillId="0" borderId="10" xfId="2" applyFont="1" applyFill="1" applyBorder="1" applyAlignment="1">
      <alignment horizontal="left" vertical="center" wrapText="1"/>
    </xf>
    <xf numFmtId="0" fontId="4" fillId="0" borderId="18" xfId="2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vertical="center" wrapText="1"/>
    </xf>
    <xf numFmtId="0" fontId="3" fillId="0" borderId="18" xfId="2" applyFont="1" applyFill="1" applyBorder="1" applyAlignment="1">
      <alignment horizontal="left" vertical="center" wrapText="1"/>
    </xf>
    <xf numFmtId="170" fontId="11" fillId="0" borderId="8" xfId="1" applyNumberFormat="1" applyFont="1" applyFill="1" applyBorder="1" applyAlignment="1">
      <alignment horizontal="center" vertical="center"/>
    </xf>
    <xf numFmtId="0" fontId="2" fillId="0" borderId="0" xfId="1" applyFill="1" applyBorder="1"/>
    <xf numFmtId="0" fontId="14" fillId="0" borderId="18" xfId="1" applyFont="1" applyFill="1" applyBorder="1" applyAlignment="1">
      <alignment vertical="center" wrapText="1"/>
    </xf>
    <xf numFmtId="0" fontId="14" fillId="0" borderId="10" xfId="2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4" fillId="0" borderId="9" xfId="1" applyFont="1" applyFill="1" applyBorder="1" applyAlignment="1">
      <alignment horizontal="left" vertical="center" wrapText="1"/>
    </xf>
    <xf numFmtId="0" fontId="11" fillId="0" borderId="29" xfId="1" applyFont="1" applyFill="1" applyBorder="1" applyAlignment="1">
      <alignment horizontal="center" vertical="center" wrapText="1"/>
    </xf>
    <xf numFmtId="0" fontId="11" fillId="0" borderId="30" xfId="1" applyFont="1" applyFill="1" applyBorder="1" applyAlignment="1">
      <alignment horizontal="center" vertical="center" wrapText="1"/>
    </xf>
    <xf numFmtId="0" fontId="11" fillId="0" borderId="28" xfId="1" applyFont="1" applyFill="1" applyBorder="1" applyAlignment="1">
      <alignment horizontal="center" vertical="center" wrapText="1"/>
    </xf>
    <xf numFmtId="165" fontId="11" fillId="0" borderId="19" xfId="1" applyNumberFormat="1" applyFont="1" applyFill="1" applyBorder="1" applyAlignment="1">
      <alignment horizontal="center" vertical="center" wrapText="1"/>
    </xf>
    <xf numFmtId="3" fontId="11" fillId="0" borderId="17" xfId="1" applyNumberFormat="1" applyFont="1" applyFill="1" applyBorder="1" applyAlignment="1">
      <alignment horizontal="center" vertical="center" wrapText="1"/>
    </xf>
    <xf numFmtId="3" fontId="11" fillId="0" borderId="18" xfId="1" applyNumberFormat="1" applyFont="1" applyFill="1" applyBorder="1" applyAlignment="1">
      <alignment horizontal="center" vertical="center" wrapText="1"/>
    </xf>
    <xf numFmtId="165" fontId="11" fillId="0" borderId="16" xfId="1" applyNumberFormat="1" applyFont="1" applyFill="1" applyBorder="1" applyAlignment="1">
      <alignment horizontal="center" vertical="center" wrapText="1"/>
    </xf>
    <xf numFmtId="168" fontId="11" fillId="0" borderId="10" xfId="1" applyNumberFormat="1" applyFont="1" applyFill="1" applyBorder="1" applyAlignment="1">
      <alignment horizontal="center" vertical="center"/>
    </xf>
    <xf numFmtId="165" fontId="3" fillId="0" borderId="8" xfId="1" applyNumberFormat="1" applyFont="1" applyFill="1" applyBorder="1" applyAlignment="1">
      <alignment horizontal="center" vertical="center" wrapText="1"/>
    </xf>
    <xf numFmtId="4" fontId="11" fillId="0" borderId="10" xfId="1" applyNumberFormat="1" applyFont="1" applyFill="1" applyBorder="1" applyAlignment="1">
      <alignment horizontal="center" vertical="center" wrapText="1"/>
    </xf>
    <xf numFmtId="168" fontId="3" fillId="0" borderId="9" xfId="1" applyNumberFormat="1" applyFont="1" applyFill="1" applyBorder="1" applyAlignment="1">
      <alignment horizontal="center" vertical="center" wrapText="1"/>
    </xf>
    <xf numFmtId="165" fontId="17" fillId="0" borderId="18" xfId="0" applyNumberFormat="1" applyFont="1" applyFill="1" applyBorder="1" applyAlignment="1">
      <alignment horizontal="center" vertical="center" wrapText="1"/>
    </xf>
    <xf numFmtId="165" fontId="17" fillId="0" borderId="10" xfId="0" applyNumberFormat="1" applyFont="1" applyFill="1" applyBorder="1" applyAlignment="1">
      <alignment horizontal="center" vertical="center" wrapText="1"/>
    </xf>
    <xf numFmtId="0" fontId="11" fillId="0" borderId="33" xfId="1" applyFont="1" applyFill="1" applyBorder="1" applyAlignment="1">
      <alignment horizontal="center" vertical="center" wrapText="1"/>
    </xf>
    <xf numFmtId="1" fontId="4" fillId="0" borderId="35" xfId="4" applyNumberFormat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 wrapText="1"/>
    </xf>
    <xf numFmtId="0" fontId="2" fillId="0" borderId="16" xfId="1" applyFill="1" applyBorder="1"/>
    <xf numFmtId="3" fontId="4" fillId="0" borderId="6" xfId="1" applyNumberFormat="1" applyFont="1" applyFill="1" applyBorder="1" applyAlignment="1">
      <alignment horizontal="center" vertical="center" wrapText="1"/>
    </xf>
    <xf numFmtId="167" fontId="3" fillId="0" borderId="6" xfId="1" applyNumberFormat="1" applyFont="1" applyFill="1" applyBorder="1" applyAlignment="1">
      <alignment horizontal="center" vertical="center"/>
    </xf>
    <xf numFmtId="168" fontId="11" fillId="0" borderId="6" xfId="1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/>
    <xf numFmtId="165" fontId="11" fillId="0" borderId="6" xfId="1" applyNumberFormat="1" applyFont="1" applyFill="1" applyBorder="1" applyAlignment="1">
      <alignment horizontal="center" vertical="center"/>
    </xf>
    <xf numFmtId="168" fontId="11" fillId="0" borderId="6" xfId="1" applyNumberFormat="1" applyFont="1" applyFill="1" applyBorder="1" applyAlignment="1">
      <alignment horizontal="center" vertical="center"/>
    </xf>
    <xf numFmtId="166" fontId="12" fillId="0" borderId="6" xfId="0" applyNumberFormat="1" applyFont="1" applyFill="1" applyBorder="1"/>
    <xf numFmtId="165" fontId="11" fillId="0" borderId="6" xfId="2" applyNumberFormat="1" applyFont="1" applyFill="1" applyBorder="1" applyAlignment="1">
      <alignment horizontal="center" vertical="center" wrapText="1"/>
    </xf>
    <xf numFmtId="165" fontId="3" fillId="0" borderId="6" xfId="2" applyNumberFormat="1" applyFont="1" applyFill="1" applyBorder="1" applyAlignment="1">
      <alignment horizontal="center" vertical="center" wrapText="1"/>
    </xf>
    <xf numFmtId="166" fontId="11" fillId="0" borderId="6" xfId="1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166" fontId="3" fillId="0" borderId="6" xfId="0" applyNumberFormat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22" xfId="2" applyFont="1" applyFill="1" applyBorder="1" applyAlignment="1">
      <alignment horizontal="left" vertical="center" wrapText="1"/>
    </xf>
    <xf numFmtId="166" fontId="3" fillId="0" borderId="22" xfId="1" applyNumberFormat="1" applyFont="1" applyFill="1" applyBorder="1" applyAlignment="1">
      <alignment horizontal="center" vertical="center" wrapText="1"/>
    </xf>
    <xf numFmtId="4" fontId="11" fillId="0" borderId="22" xfId="1" applyNumberFormat="1" applyFont="1" applyFill="1" applyBorder="1" applyAlignment="1">
      <alignment horizontal="center" vertical="center" wrapText="1"/>
    </xf>
    <xf numFmtId="165" fontId="3" fillId="0" borderId="22" xfId="1" applyNumberFormat="1" applyFont="1" applyFill="1" applyBorder="1" applyAlignment="1">
      <alignment horizontal="center" vertical="center" wrapText="1"/>
    </xf>
    <xf numFmtId="165" fontId="11" fillId="0" borderId="22" xfId="1" applyNumberFormat="1" applyFont="1" applyFill="1" applyBorder="1" applyAlignment="1">
      <alignment horizontal="center" vertical="center" wrapText="1"/>
    </xf>
    <xf numFmtId="165" fontId="11" fillId="0" borderId="21" xfId="1" applyNumberFormat="1" applyFont="1" applyFill="1" applyBorder="1" applyAlignment="1">
      <alignment horizontal="center" vertical="center" wrapText="1"/>
    </xf>
    <xf numFmtId="0" fontId="11" fillId="0" borderId="0" xfId="0" applyFont="1"/>
    <xf numFmtId="0" fontId="4" fillId="0" borderId="0" xfId="0" applyFont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165" fontId="2" fillId="0" borderId="9" xfId="1" applyNumberFormat="1" applyFill="1" applyBorder="1"/>
    <xf numFmtId="0" fontId="4" fillId="0" borderId="0" xfId="0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3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6" fillId="0" borderId="6" xfId="1" applyFont="1" applyFill="1" applyBorder="1" applyAlignment="1">
      <alignment horizontal="center" vertical="center" wrapText="1"/>
    </xf>
    <xf numFmtId="0" fontId="5" fillId="0" borderId="34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15" xfId="3"/>
    <cellStyle name="Обычный 2" xfId="5"/>
    <cellStyle name="Обычный_219-пп_Приложение 2" xfId="4"/>
    <cellStyle name="Обычный_ВЫПОЛНЕНИЕ программы ИЖС-2010 год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R153"/>
  <sheetViews>
    <sheetView tabSelected="1" topLeftCell="A41" zoomScale="75" zoomScaleNormal="75" zoomScaleSheetLayoutView="75" workbookViewId="0">
      <selection activeCell="E121" sqref="E121:G129"/>
    </sheetView>
  </sheetViews>
  <sheetFormatPr defaultColWidth="9.140625" defaultRowHeight="18.75"/>
  <cols>
    <col min="1" max="1" width="6.5703125" style="32" customWidth="1"/>
    <col min="2" max="2" width="59.28515625" style="1" customWidth="1"/>
    <col min="3" max="4" width="12" style="1" customWidth="1"/>
    <col min="5" max="5" width="17" style="1" customWidth="1"/>
    <col min="6" max="6" width="18.5703125" style="1" customWidth="1"/>
    <col min="7" max="7" width="15.7109375" style="1" customWidth="1"/>
    <col min="8" max="8" width="12.28515625" style="1" customWidth="1"/>
    <col min="9" max="9" width="9.85546875" style="1" customWidth="1"/>
    <col min="10" max="10" width="17.28515625" style="1" customWidth="1"/>
    <col min="11" max="11" width="15.7109375" style="1" customWidth="1"/>
    <col min="12" max="12" width="13.140625" style="1" customWidth="1"/>
    <col min="13" max="14" width="10.28515625" style="1" customWidth="1"/>
    <col min="15" max="15" width="17.140625" style="1" customWidth="1"/>
    <col min="16" max="16" width="16" style="1" customWidth="1"/>
    <col min="17" max="17" width="13.140625" style="1" customWidth="1"/>
    <col min="18" max="18" width="9" style="1" hidden="1" customWidth="1"/>
    <col min="19" max="19" width="9.7109375" style="1" hidden="1" customWidth="1"/>
    <col min="20" max="21" width="15.5703125" style="1" hidden="1" customWidth="1"/>
    <col min="22" max="22" width="12.7109375" style="1" hidden="1" customWidth="1"/>
    <col min="23" max="23" width="16.5703125" style="1" customWidth="1"/>
    <col min="24" max="24" width="14.42578125" style="1" customWidth="1"/>
    <col min="25" max="25" width="9.140625" style="1" customWidth="1"/>
    <col min="26" max="26" width="17" style="1" customWidth="1"/>
    <col min="27" max="38" width="9.140625" style="1" customWidth="1"/>
    <col min="39" max="42" width="9.140625" style="33" customWidth="1"/>
    <col min="43" max="16384" width="9.140625" style="2"/>
  </cols>
  <sheetData>
    <row r="1" spans="1:44" ht="88.5" customHeight="1">
      <c r="A1" s="52"/>
      <c r="B1" s="55"/>
      <c r="C1" s="156"/>
      <c r="D1" s="156"/>
      <c r="E1" s="156"/>
      <c r="F1" s="156"/>
      <c r="G1" s="156"/>
      <c r="H1" s="87"/>
      <c r="I1" s="69"/>
      <c r="J1" s="69"/>
      <c r="K1" s="161" t="s">
        <v>97</v>
      </c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4" ht="22.5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4" ht="66" customHeight="1">
      <c r="A3" s="163" t="s">
        <v>141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4" ht="27.2" customHeight="1" thickBot="1">
      <c r="A4" s="52"/>
      <c r="B4" s="55"/>
      <c r="C4" s="112"/>
      <c r="D4" s="112"/>
      <c r="E4" s="112"/>
      <c r="F4" s="112"/>
      <c r="G4" s="112"/>
      <c r="H4" s="112"/>
      <c r="I4" s="112"/>
      <c r="J4" s="112"/>
      <c r="K4" s="112"/>
      <c r="L4" s="94"/>
      <c r="M4" s="94"/>
      <c r="N4" s="94"/>
      <c r="O4" s="94"/>
      <c r="P4" s="94"/>
      <c r="Q4" s="94"/>
      <c r="R4" s="88"/>
      <c r="S4" s="88"/>
      <c r="T4" s="88"/>
      <c r="U4" s="88"/>
      <c r="V4" s="88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4" s="3" customFormat="1" ht="27.75" customHeight="1">
      <c r="A5" s="164" t="s">
        <v>0</v>
      </c>
      <c r="B5" s="166" t="s">
        <v>1</v>
      </c>
      <c r="C5" s="168" t="s">
        <v>36</v>
      </c>
      <c r="D5" s="168"/>
      <c r="E5" s="168"/>
      <c r="F5" s="168"/>
      <c r="G5" s="168"/>
      <c r="H5" s="168" t="s">
        <v>43</v>
      </c>
      <c r="I5" s="168"/>
      <c r="J5" s="168"/>
      <c r="K5" s="168"/>
      <c r="L5" s="168"/>
      <c r="M5" s="168" t="s">
        <v>44</v>
      </c>
      <c r="N5" s="168"/>
      <c r="O5" s="168"/>
      <c r="P5" s="168"/>
      <c r="Q5" s="169"/>
      <c r="R5" s="170" t="s">
        <v>45</v>
      </c>
      <c r="S5" s="170"/>
      <c r="T5" s="170"/>
      <c r="U5" s="170"/>
      <c r="V5" s="171"/>
      <c r="W5" s="2"/>
      <c r="X5" s="2"/>
      <c r="Y5" s="2"/>
      <c r="Z5" s="2"/>
      <c r="AA5" s="2"/>
      <c r="AB5" s="2" t="s">
        <v>31</v>
      </c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1:44" s="4" customFormat="1" ht="29.25" customHeight="1">
      <c r="A6" s="165"/>
      <c r="B6" s="167"/>
      <c r="C6" s="174" t="s">
        <v>38</v>
      </c>
      <c r="D6" s="174"/>
      <c r="E6" s="174" t="s">
        <v>3</v>
      </c>
      <c r="F6" s="174" t="s">
        <v>2</v>
      </c>
      <c r="G6" s="174"/>
      <c r="H6" s="174" t="s">
        <v>38</v>
      </c>
      <c r="I6" s="174"/>
      <c r="J6" s="174" t="s">
        <v>3</v>
      </c>
      <c r="K6" s="174" t="s">
        <v>2</v>
      </c>
      <c r="L6" s="174"/>
      <c r="M6" s="174" t="s">
        <v>38</v>
      </c>
      <c r="N6" s="174"/>
      <c r="O6" s="174" t="s">
        <v>3</v>
      </c>
      <c r="P6" s="174" t="s">
        <v>2</v>
      </c>
      <c r="Q6" s="178"/>
      <c r="R6" s="172" t="s">
        <v>38</v>
      </c>
      <c r="S6" s="173"/>
      <c r="T6" s="174" t="s">
        <v>28</v>
      </c>
      <c r="U6" s="167" t="s">
        <v>2</v>
      </c>
      <c r="V6" s="176"/>
      <c r="W6" s="56"/>
      <c r="X6" s="56"/>
      <c r="Y6" s="56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1:44" s="4" customFormat="1" ht="70.5" customHeight="1" thickBot="1">
      <c r="A7" s="165"/>
      <c r="B7" s="167"/>
      <c r="C7" s="158" t="s">
        <v>39</v>
      </c>
      <c r="D7" s="158" t="s">
        <v>40</v>
      </c>
      <c r="E7" s="174"/>
      <c r="F7" s="158" t="s">
        <v>33</v>
      </c>
      <c r="G7" s="158" t="s">
        <v>4</v>
      </c>
      <c r="H7" s="158" t="s">
        <v>39</v>
      </c>
      <c r="I7" s="158" t="s">
        <v>40</v>
      </c>
      <c r="J7" s="174"/>
      <c r="K7" s="158" t="s">
        <v>34</v>
      </c>
      <c r="L7" s="158" t="s">
        <v>4</v>
      </c>
      <c r="M7" s="158" t="s">
        <v>39</v>
      </c>
      <c r="N7" s="158" t="s">
        <v>40</v>
      </c>
      <c r="O7" s="174"/>
      <c r="P7" s="157" t="s">
        <v>33</v>
      </c>
      <c r="Q7" s="159" t="s">
        <v>4</v>
      </c>
      <c r="R7" s="85" t="s">
        <v>39</v>
      </c>
      <c r="S7" s="85" t="s">
        <v>40</v>
      </c>
      <c r="T7" s="175"/>
      <c r="U7" s="5" t="s">
        <v>35</v>
      </c>
      <c r="V7" s="101" t="s">
        <v>4</v>
      </c>
      <c r="W7" s="56"/>
      <c r="X7" s="56"/>
      <c r="Y7" s="56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s="6" customFormat="1" ht="27.75" customHeight="1" thickBot="1">
      <c r="A8" s="118">
        <v>1</v>
      </c>
      <c r="B8" s="119">
        <v>2</v>
      </c>
      <c r="C8" s="119">
        <v>3</v>
      </c>
      <c r="D8" s="119">
        <v>4</v>
      </c>
      <c r="E8" s="119">
        <v>5</v>
      </c>
      <c r="F8" s="119">
        <v>6</v>
      </c>
      <c r="G8" s="119">
        <v>7</v>
      </c>
      <c r="H8" s="119">
        <v>8</v>
      </c>
      <c r="I8" s="119">
        <v>9</v>
      </c>
      <c r="J8" s="119">
        <v>10</v>
      </c>
      <c r="K8" s="119">
        <v>11</v>
      </c>
      <c r="L8" s="119">
        <v>12</v>
      </c>
      <c r="M8" s="119">
        <v>13</v>
      </c>
      <c r="N8" s="119">
        <v>14</v>
      </c>
      <c r="O8" s="119">
        <v>15</v>
      </c>
      <c r="P8" s="131">
        <v>16</v>
      </c>
      <c r="Q8" s="120">
        <v>17</v>
      </c>
      <c r="R8" s="83">
        <v>22</v>
      </c>
      <c r="S8" s="83">
        <v>23</v>
      </c>
      <c r="T8" s="80">
        <v>24</v>
      </c>
      <c r="U8" s="102">
        <v>25</v>
      </c>
      <c r="V8" s="103">
        <v>26</v>
      </c>
      <c r="W8" s="56"/>
      <c r="X8" s="56"/>
      <c r="Y8" s="56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s="115" customFormat="1" ht="38.25" customHeight="1">
      <c r="A9" s="179" t="s">
        <v>46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1"/>
      <c r="R9" s="52"/>
      <c r="S9" s="52"/>
      <c r="T9" s="52"/>
      <c r="U9" s="52"/>
      <c r="V9" s="52"/>
      <c r="W9" s="94"/>
      <c r="X9" s="94"/>
      <c r="Y9" s="94"/>
      <c r="Z9" s="94" t="s">
        <v>32</v>
      </c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</row>
    <row r="10" spans="1:44" s="115" customFormat="1" ht="33.950000000000003" customHeight="1">
      <c r="A10" s="132"/>
      <c r="B10" s="182" t="s">
        <v>47</v>
      </c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3"/>
      <c r="R10" s="52"/>
      <c r="S10" s="52"/>
      <c r="T10" s="52"/>
      <c r="U10" s="52"/>
      <c r="V10" s="52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</row>
    <row r="11" spans="1:44" s="116" customFormat="1" ht="36" customHeight="1">
      <c r="A11" s="133"/>
      <c r="B11" s="117" t="s">
        <v>5</v>
      </c>
      <c r="C11" s="42">
        <f t="shared" ref="C11:L11" si="0">C15+C28+C40+C44+C53+C65+C76+C80+C84+C90+C92+C97+C100+C111+C115+C120+C130+C137</f>
        <v>101.70499999999997</v>
      </c>
      <c r="D11" s="42">
        <f t="shared" si="0"/>
        <v>278.7</v>
      </c>
      <c r="E11" s="42">
        <f t="shared" si="0"/>
        <v>1874425.9797499999</v>
      </c>
      <c r="F11" s="42">
        <f t="shared" si="0"/>
        <v>1758534.7001999998</v>
      </c>
      <c r="G11" s="42">
        <f t="shared" si="0"/>
        <v>115891.27954999998</v>
      </c>
      <c r="H11" s="42">
        <f t="shared" si="0"/>
        <v>106.58200000000001</v>
      </c>
      <c r="I11" s="42">
        <f t="shared" si="0"/>
        <v>18.324999999999999</v>
      </c>
      <c r="J11" s="42">
        <f t="shared" si="0"/>
        <v>1593274.1</v>
      </c>
      <c r="K11" s="42">
        <f t="shared" si="0"/>
        <v>1493166.7530000003</v>
      </c>
      <c r="L11" s="42">
        <f t="shared" si="0"/>
        <v>100107.34700000002</v>
      </c>
      <c r="M11" s="42"/>
      <c r="N11" s="42"/>
      <c r="O11" s="42"/>
      <c r="P11" s="42"/>
      <c r="Q11" s="134"/>
      <c r="R11" s="90" t="e">
        <f>R15+R28+R40+R44+R51+R53+R65+R67+R76+R80+R84+R90+R92+R97+R100+R111+R113+R115+R120+#REF!+R130+R137</f>
        <v>#REF!</v>
      </c>
      <c r="S11" s="90" t="e">
        <f>S15+S28+S40+S44+S51+S53+S65+S67+S76+S80+S84+S90+S92+S97+S100+S111+S113+S115+S120+#REF!+S130+S137</f>
        <v>#REF!</v>
      </c>
      <c r="T11" s="90" t="e">
        <f>T15+T28+T40+T44+T51+T53+T65+T67+T76+T80+T84+T90+T92+T97+T100+T111+T113+T115+T120+#REF!+T130+T137</f>
        <v>#REF!</v>
      </c>
      <c r="U11" s="90" t="e">
        <f>U15+U28+U40+U44+U51+U53+U65+U67+U76+U80+U84+U90+U92+U97+U100+U111+U113+U115+U120+#REF!+U130+U137</f>
        <v>#REF!</v>
      </c>
      <c r="V11" s="90" t="e">
        <f>V15+V28+V40+V44+V51+V53+V65+V67+V76+V80+V84+V90+V92+V97+V100+V111+V113+V115+V120+#REF!+V130+V137</f>
        <v>#REF!</v>
      </c>
      <c r="W11" s="90" t="e">
        <f>E11-#REF!</f>
        <v>#REF!</v>
      </c>
      <c r="X11" s="90" t="e">
        <f>F11-#REF!</f>
        <v>#REF!</v>
      </c>
      <c r="Y11" s="90"/>
      <c r="Z11" s="90" t="e">
        <f>G11-#REF!</f>
        <v>#REF!</v>
      </c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</row>
    <row r="12" spans="1:44" ht="24" customHeight="1">
      <c r="A12" s="7"/>
      <c r="B12" s="113" t="s">
        <v>6</v>
      </c>
      <c r="C12" s="8"/>
      <c r="D12" s="8"/>
      <c r="E12" s="8"/>
      <c r="F12" s="8"/>
      <c r="G12" s="8"/>
      <c r="H12" s="9"/>
      <c r="I12" s="9"/>
      <c r="J12" s="9"/>
      <c r="K12" s="9"/>
      <c r="L12" s="9"/>
      <c r="M12" s="8"/>
      <c r="N12" s="8"/>
      <c r="O12" s="8"/>
      <c r="P12" s="8"/>
      <c r="Q12" s="135"/>
      <c r="R12" s="71"/>
      <c r="S12" s="71"/>
      <c r="T12" s="9"/>
      <c r="U12" s="38"/>
      <c r="V12" s="10"/>
      <c r="W12" s="56"/>
      <c r="X12" s="56"/>
      <c r="Y12" s="56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4" s="3" customFormat="1" ht="28.5" customHeight="1">
      <c r="A13" s="11"/>
      <c r="B13" s="114" t="s">
        <v>41</v>
      </c>
      <c r="C13" s="84"/>
      <c r="D13" s="84"/>
      <c r="E13" s="42"/>
      <c r="F13" s="42">
        <f>F15+F28+F40+F44+F53+F65+F76+F80+F84+F90+F92+F97+F100+F111+F115+F120+F130+F137</f>
        <v>1758534.7001999998</v>
      </c>
      <c r="G13" s="42"/>
      <c r="H13" s="42"/>
      <c r="I13" s="42"/>
      <c r="J13" s="42"/>
      <c r="K13" s="42">
        <f>K15+K28+K40+K44+K53+K65+K76+K80+K84+K90+K92+K97+K100+K111+K115+K120+K130+K137</f>
        <v>1493166.7530000003</v>
      </c>
      <c r="L13" s="42"/>
      <c r="M13" s="84"/>
      <c r="N13" s="84"/>
      <c r="O13" s="42"/>
      <c r="P13" s="42"/>
      <c r="Q13" s="134"/>
      <c r="R13" s="72"/>
      <c r="S13" s="72"/>
      <c r="T13" s="57"/>
      <c r="U13" s="34"/>
      <c r="V13" s="15"/>
      <c r="W13" s="56"/>
      <c r="X13" s="56"/>
      <c r="Y13" s="56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s="3" customFormat="1" ht="42.75" customHeight="1">
      <c r="A14" s="11"/>
      <c r="B14" s="114" t="s">
        <v>42</v>
      </c>
      <c r="C14" s="43"/>
      <c r="D14" s="43"/>
      <c r="E14" s="43"/>
      <c r="F14" s="43"/>
      <c r="G14" s="42">
        <f>G15+G28+G40+G44+G53+G65+G76+G80+G84+G90+G92+G97+G100+G111+G115+G120+G130+G137</f>
        <v>115891.27954999998</v>
      </c>
      <c r="H14" s="44"/>
      <c r="I14" s="44"/>
      <c r="J14" s="44"/>
      <c r="K14" s="44"/>
      <c r="L14" s="42">
        <f>L15+L28+L40+L44+L53+L65+L76+L80+L84+L90+L92+L97+L100+L111+L115+L120+L130+L137</f>
        <v>100107.34700000002</v>
      </c>
      <c r="M14" s="43"/>
      <c r="N14" s="43"/>
      <c r="O14" s="43"/>
      <c r="P14" s="43"/>
      <c r="Q14" s="136"/>
      <c r="R14" s="19"/>
      <c r="S14" s="19"/>
      <c r="T14" s="14"/>
      <c r="U14" s="12"/>
      <c r="V14" s="15"/>
      <c r="W14" s="56"/>
      <c r="X14" s="56"/>
      <c r="Y14" s="56"/>
      <c r="Z14" s="2"/>
      <c r="AA14" s="2" t="s">
        <v>31</v>
      </c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s="3" customFormat="1" ht="27.2" customHeight="1">
      <c r="A15" s="11"/>
      <c r="B15" s="105" t="s">
        <v>7</v>
      </c>
      <c r="C15" s="16">
        <f>C16</f>
        <v>10.3</v>
      </c>
      <c r="D15" s="14"/>
      <c r="E15" s="16">
        <f>E16</f>
        <v>237999.99999999997</v>
      </c>
      <c r="F15" s="16">
        <f t="shared" ref="F15:G15" si="1">F16</f>
        <v>223719.99999999997</v>
      </c>
      <c r="G15" s="22">
        <f t="shared" si="1"/>
        <v>14280.000000000007</v>
      </c>
      <c r="H15" s="16"/>
      <c r="I15" s="16"/>
      <c r="J15" s="16"/>
      <c r="K15" s="16"/>
      <c r="L15" s="16"/>
      <c r="M15" s="16"/>
      <c r="N15" s="16"/>
      <c r="O15" s="16"/>
      <c r="P15" s="16"/>
      <c r="Q15" s="18"/>
      <c r="R15" s="17">
        <v>10.3</v>
      </c>
      <c r="S15" s="16"/>
      <c r="T15" s="16">
        <v>238000</v>
      </c>
      <c r="U15" s="16">
        <v>223720</v>
      </c>
      <c r="V15" s="18">
        <f>T15-U15</f>
        <v>14280</v>
      </c>
      <c r="W15" s="54"/>
      <c r="X15" s="56"/>
      <c r="Y15" s="56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 s="3" customFormat="1" ht="46.5" customHeight="1">
      <c r="A16" s="24"/>
      <c r="B16" s="106" t="s">
        <v>88</v>
      </c>
      <c r="C16" s="45">
        <f>SUM(C17:C27)</f>
        <v>10.3</v>
      </c>
      <c r="D16" s="25"/>
      <c r="E16" s="49">
        <f>SUM(E17:E27)</f>
        <v>237999.99999999997</v>
      </c>
      <c r="F16" s="49">
        <f>SUM(F17:F27)</f>
        <v>223719.99999999997</v>
      </c>
      <c r="G16" s="61">
        <f>SUM(G17:G27)</f>
        <v>14280.000000000007</v>
      </c>
      <c r="H16" s="49"/>
      <c r="I16" s="27"/>
      <c r="J16" s="27"/>
      <c r="K16" s="27"/>
      <c r="L16" s="27"/>
      <c r="M16" s="27"/>
      <c r="N16" s="27"/>
      <c r="O16" s="27"/>
      <c r="P16" s="27"/>
      <c r="Q16" s="137"/>
      <c r="R16" s="89">
        <v>10.3</v>
      </c>
      <c r="S16" s="49"/>
      <c r="T16" s="49">
        <v>238000</v>
      </c>
      <c r="U16" s="49">
        <v>223720</v>
      </c>
      <c r="V16" s="63">
        <f>T16-U16</f>
        <v>14280</v>
      </c>
      <c r="W16" s="56"/>
      <c r="X16" s="56"/>
      <c r="Y16" s="56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44" s="3" customFormat="1" ht="27" customHeight="1">
      <c r="A17" s="24">
        <v>1</v>
      </c>
      <c r="B17" s="106" t="s">
        <v>112</v>
      </c>
      <c r="C17" s="45">
        <v>2.0990000000000002</v>
      </c>
      <c r="D17" s="25"/>
      <c r="E17" s="49">
        <v>29502.191490000001</v>
      </c>
      <c r="F17" s="49">
        <f>E17*0.94</f>
        <v>27732.060000599999</v>
      </c>
      <c r="G17" s="61">
        <f>E17-F17</f>
        <v>1770.1314894000025</v>
      </c>
      <c r="H17" s="49"/>
      <c r="I17" s="27"/>
      <c r="J17" s="27"/>
      <c r="K17" s="27"/>
      <c r="L17" s="27"/>
      <c r="M17" s="27"/>
      <c r="N17" s="27"/>
      <c r="O17" s="27"/>
      <c r="P17" s="27"/>
      <c r="Q17" s="137"/>
      <c r="R17" s="89"/>
      <c r="S17" s="126"/>
      <c r="T17" s="49"/>
      <c r="U17" s="61"/>
      <c r="V17" s="63"/>
      <c r="W17" s="56"/>
      <c r="X17" s="56"/>
      <c r="Y17" s="56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spans="1:44" s="3" customFormat="1" ht="27" customHeight="1">
      <c r="A18" s="24">
        <v>2</v>
      </c>
      <c r="B18" s="106" t="s">
        <v>77</v>
      </c>
      <c r="C18" s="45">
        <v>1.54</v>
      </c>
      <c r="D18" s="25"/>
      <c r="E18" s="49">
        <v>59025.596689999998</v>
      </c>
      <c r="F18" s="49">
        <f t="shared" ref="F18:F27" si="2">E18*0.94</f>
        <v>55484.060888599997</v>
      </c>
      <c r="G18" s="61">
        <f t="shared" ref="G18:G27" si="3">E18-F18</f>
        <v>3541.5358014000012</v>
      </c>
      <c r="H18" s="49"/>
      <c r="I18" s="27"/>
      <c r="J18" s="27"/>
      <c r="K18" s="27"/>
      <c r="L18" s="27"/>
      <c r="M18" s="27"/>
      <c r="N18" s="27"/>
      <c r="O18" s="27"/>
      <c r="P18" s="27"/>
      <c r="Q18" s="137"/>
      <c r="R18" s="89"/>
      <c r="S18" s="126"/>
      <c r="T18" s="49"/>
      <c r="U18" s="61"/>
      <c r="V18" s="63"/>
      <c r="W18" s="56"/>
      <c r="X18" s="56"/>
      <c r="Y18" s="56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 s="3" customFormat="1" ht="27" customHeight="1">
      <c r="A19" s="24">
        <v>3</v>
      </c>
      <c r="B19" s="106" t="s">
        <v>78</v>
      </c>
      <c r="C19" s="45">
        <v>1.224</v>
      </c>
      <c r="D19" s="25"/>
      <c r="E19" s="49">
        <v>10694.377909999999</v>
      </c>
      <c r="F19" s="49">
        <f t="shared" si="2"/>
        <v>10052.715235399999</v>
      </c>
      <c r="G19" s="61">
        <f t="shared" si="3"/>
        <v>641.66267460000017</v>
      </c>
      <c r="H19" s="49"/>
      <c r="I19" s="27"/>
      <c r="J19" s="27"/>
      <c r="K19" s="27"/>
      <c r="L19" s="27"/>
      <c r="M19" s="27"/>
      <c r="N19" s="27"/>
      <c r="O19" s="27"/>
      <c r="P19" s="27"/>
      <c r="Q19" s="137"/>
      <c r="R19" s="89"/>
      <c r="S19" s="126"/>
      <c r="T19" s="49"/>
      <c r="U19" s="61"/>
      <c r="V19" s="63"/>
      <c r="W19" s="56"/>
      <c r="X19" s="56"/>
      <c r="Y19" s="56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</row>
    <row r="20" spans="1:44" s="3" customFormat="1" ht="27" customHeight="1">
      <c r="A20" s="24">
        <v>4</v>
      </c>
      <c r="B20" s="106" t="s">
        <v>79</v>
      </c>
      <c r="C20" s="45">
        <v>0.77700000000000002</v>
      </c>
      <c r="D20" s="25"/>
      <c r="E20" s="49">
        <v>6356.2148500000003</v>
      </c>
      <c r="F20" s="49">
        <f t="shared" si="2"/>
        <v>5974.8419590000003</v>
      </c>
      <c r="G20" s="61">
        <f t="shared" si="3"/>
        <v>381.37289099999998</v>
      </c>
      <c r="H20" s="49"/>
      <c r="I20" s="27"/>
      <c r="J20" s="27"/>
      <c r="K20" s="27"/>
      <c r="L20" s="27"/>
      <c r="M20" s="27"/>
      <c r="N20" s="27"/>
      <c r="O20" s="27"/>
      <c r="P20" s="27"/>
      <c r="Q20" s="137"/>
      <c r="R20" s="89"/>
      <c r="S20" s="126"/>
      <c r="T20" s="49"/>
      <c r="U20" s="61"/>
      <c r="V20" s="63"/>
      <c r="W20" s="56"/>
      <c r="X20" s="56"/>
      <c r="Y20" s="56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 s="3" customFormat="1" ht="27" customHeight="1">
      <c r="A21" s="24">
        <v>5</v>
      </c>
      <c r="B21" s="106" t="s">
        <v>100</v>
      </c>
      <c r="C21" s="45">
        <v>0.62</v>
      </c>
      <c r="D21" s="25"/>
      <c r="E21" s="49">
        <v>9289.8690000000006</v>
      </c>
      <c r="F21" s="49">
        <f t="shared" si="2"/>
        <v>8732.4768600000007</v>
      </c>
      <c r="G21" s="61">
        <f t="shared" si="3"/>
        <v>557.39213999999993</v>
      </c>
      <c r="H21" s="49"/>
      <c r="I21" s="27"/>
      <c r="J21" s="27"/>
      <c r="K21" s="27"/>
      <c r="L21" s="27"/>
      <c r="M21" s="27"/>
      <c r="N21" s="27"/>
      <c r="O21" s="27"/>
      <c r="P21" s="27"/>
      <c r="Q21" s="137"/>
      <c r="R21" s="89"/>
      <c r="S21" s="126"/>
      <c r="T21" s="49"/>
      <c r="U21" s="61"/>
      <c r="V21" s="63"/>
      <c r="W21" s="56"/>
      <c r="X21" s="56"/>
      <c r="Y21" s="56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</row>
    <row r="22" spans="1:44" s="3" customFormat="1" ht="27" customHeight="1">
      <c r="A22" s="24">
        <v>6</v>
      </c>
      <c r="B22" s="106" t="s">
        <v>80</v>
      </c>
      <c r="C22" s="45">
        <v>0.86699999999999999</v>
      </c>
      <c r="D22" s="25"/>
      <c r="E22" s="49">
        <v>9339.10707</v>
      </c>
      <c r="F22" s="49">
        <f t="shared" si="2"/>
        <v>8778.7606457999991</v>
      </c>
      <c r="G22" s="61">
        <f t="shared" si="3"/>
        <v>560.34642420000091</v>
      </c>
      <c r="H22" s="49"/>
      <c r="I22" s="27"/>
      <c r="J22" s="27"/>
      <c r="K22" s="27"/>
      <c r="L22" s="27"/>
      <c r="M22" s="27"/>
      <c r="N22" s="27"/>
      <c r="O22" s="27"/>
      <c r="P22" s="27"/>
      <c r="Q22" s="137"/>
      <c r="R22" s="89"/>
      <c r="S22" s="126"/>
      <c r="T22" s="49"/>
      <c r="U22" s="61"/>
      <c r="V22" s="63"/>
      <c r="W22" s="56"/>
      <c r="X22" s="56"/>
      <c r="Y22" s="56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 s="3" customFormat="1" ht="27" customHeight="1">
      <c r="A23" s="24">
        <v>7</v>
      </c>
      <c r="B23" s="106" t="s">
        <v>81</v>
      </c>
      <c r="C23" s="45">
        <v>0.68100000000000005</v>
      </c>
      <c r="D23" s="25"/>
      <c r="E23" s="49">
        <v>10725.01888</v>
      </c>
      <c r="F23" s="49">
        <f t="shared" si="2"/>
        <v>10081.5177472</v>
      </c>
      <c r="G23" s="61">
        <f t="shared" si="3"/>
        <v>643.50113280000005</v>
      </c>
      <c r="H23" s="49"/>
      <c r="I23" s="27"/>
      <c r="J23" s="27"/>
      <c r="K23" s="27"/>
      <c r="L23" s="27"/>
      <c r="M23" s="27"/>
      <c r="N23" s="27"/>
      <c r="O23" s="27"/>
      <c r="P23" s="27"/>
      <c r="Q23" s="137"/>
      <c r="R23" s="89"/>
      <c r="S23" s="126"/>
      <c r="T23" s="49"/>
      <c r="U23" s="61"/>
      <c r="V23" s="63"/>
      <c r="W23" s="56"/>
      <c r="X23" s="56"/>
      <c r="Y23" s="56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</row>
    <row r="24" spans="1:44" s="3" customFormat="1" ht="27" customHeight="1">
      <c r="A24" s="24">
        <v>8</v>
      </c>
      <c r="B24" s="106" t="s">
        <v>98</v>
      </c>
      <c r="C24" s="45">
        <v>0.57999999999999996</v>
      </c>
      <c r="D24" s="25"/>
      <c r="E24" s="49">
        <v>30012.859909999999</v>
      </c>
      <c r="F24" s="49">
        <f t="shared" si="2"/>
        <v>28212.088315399997</v>
      </c>
      <c r="G24" s="61">
        <f t="shared" si="3"/>
        <v>1800.7715946000026</v>
      </c>
      <c r="H24" s="49"/>
      <c r="I24" s="27"/>
      <c r="J24" s="27"/>
      <c r="K24" s="27"/>
      <c r="L24" s="27"/>
      <c r="M24" s="27"/>
      <c r="N24" s="27"/>
      <c r="O24" s="27"/>
      <c r="P24" s="27"/>
      <c r="Q24" s="137"/>
      <c r="R24" s="89"/>
      <c r="S24" s="126"/>
      <c r="T24" s="49"/>
      <c r="U24" s="61"/>
      <c r="V24" s="63"/>
      <c r="W24" s="56"/>
      <c r="X24" s="56"/>
      <c r="Y24" s="56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</row>
    <row r="25" spans="1:44" s="3" customFormat="1" ht="27" customHeight="1">
      <c r="A25" s="24">
        <v>9</v>
      </c>
      <c r="B25" s="106" t="s">
        <v>99</v>
      </c>
      <c r="C25" s="45">
        <v>0.63700000000000001</v>
      </c>
      <c r="D25" s="25"/>
      <c r="E25" s="49">
        <v>41026.149799999999</v>
      </c>
      <c r="F25" s="49">
        <f t="shared" si="2"/>
        <v>38564.580812</v>
      </c>
      <c r="G25" s="61">
        <f t="shared" si="3"/>
        <v>2461.5689879999991</v>
      </c>
      <c r="H25" s="49"/>
      <c r="I25" s="27"/>
      <c r="J25" s="27"/>
      <c r="K25" s="27"/>
      <c r="L25" s="27"/>
      <c r="M25" s="27"/>
      <c r="N25" s="27"/>
      <c r="O25" s="27"/>
      <c r="P25" s="27"/>
      <c r="Q25" s="137"/>
      <c r="R25" s="89"/>
      <c r="S25" s="126"/>
      <c r="T25" s="49"/>
      <c r="U25" s="61"/>
      <c r="V25" s="63"/>
      <c r="W25" s="56"/>
      <c r="X25" s="56"/>
      <c r="Y25" s="56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</row>
    <row r="26" spans="1:44" s="3" customFormat="1" ht="27" customHeight="1">
      <c r="A26" s="24">
        <v>10</v>
      </c>
      <c r="B26" s="106" t="s">
        <v>82</v>
      </c>
      <c r="C26" s="45">
        <v>0.77500000000000002</v>
      </c>
      <c r="D26" s="25"/>
      <c r="E26" s="49">
        <v>24048.283049999998</v>
      </c>
      <c r="F26" s="49">
        <f t="shared" si="2"/>
        <v>22605.386066999996</v>
      </c>
      <c r="G26" s="61">
        <f t="shared" si="3"/>
        <v>1442.8969830000024</v>
      </c>
      <c r="H26" s="49"/>
      <c r="I26" s="27"/>
      <c r="J26" s="27"/>
      <c r="K26" s="27"/>
      <c r="L26" s="27"/>
      <c r="M26" s="27"/>
      <c r="N26" s="27"/>
      <c r="O26" s="27"/>
      <c r="P26" s="27"/>
      <c r="Q26" s="137"/>
      <c r="R26" s="89"/>
      <c r="S26" s="126"/>
      <c r="T26" s="49"/>
      <c r="U26" s="61"/>
      <c r="V26" s="63"/>
      <c r="W26" s="56"/>
      <c r="X26" s="56"/>
      <c r="Y26" s="56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 spans="1:44" s="3" customFormat="1" ht="27" customHeight="1">
      <c r="A27" s="24">
        <v>11</v>
      </c>
      <c r="B27" s="106" t="s">
        <v>113</v>
      </c>
      <c r="C27" s="45">
        <v>0.5</v>
      </c>
      <c r="D27" s="25"/>
      <c r="E27" s="49">
        <v>7980.3313500000004</v>
      </c>
      <c r="F27" s="49">
        <f t="shared" si="2"/>
        <v>7501.511469</v>
      </c>
      <c r="G27" s="61">
        <f t="shared" si="3"/>
        <v>478.81988100000035</v>
      </c>
      <c r="H27" s="49"/>
      <c r="I27" s="27"/>
      <c r="J27" s="27"/>
      <c r="K27" s="27"/>
      <c r="L27" s="27"/>
      <c r="M27" s="27"/>
      <c r="N27" s="27"/>
      <c r="O27" s="27"/>
      <c r="P27" s="27"/>
      <c r="Q27" s="137"/>
      <c r="R27" s="89"/>
      <c r="S27" s="126"/>
      <c r="T27" s="49"/>
      <c r="U27" s="61"/>
      <c r="V27" s="63"/>
      <c r="W27" s="56"/>
      <c r="X27" s="56"/>
      <c r="Y27" s="56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spans="1:44" s="3" customFormat="1" ht="30.75" customHeight="1">
      <c r="A28" s="24"/>
      <c r="B28" s="105" t="s">
        <v>8</v>
      </c>
      <c r="C28" s="16">
        <f>SUM(C30:C39)</f>
        <v>27.507999999999996</v>
      </c>
      <c r="D28" s="16"/>
      <c r="E28" s="16">
        <f>SUM(E30:E39)</f>
        <v>197954.79975000001</v>
      </c>
      <c r="F28" s="16">
        <f t="shared" ref="F28:G28" si="4">SUM(F30:F39)</f>
        <v>186077.50020000001</v>
      </c>
      <c r="G28" s="16">
        <f t="shared" si="4"/>
        <v>11877.299549999992</v>
      </c>
      <c r="H28" s="16">
        <f>H38</f>
        <v>96.617999999999995</v>
      </c>
      <c r="I28" s="16"/>
      <c r="J28" s="16">
        <f>J38</f>
        <v>932120.60000000009</v>
      </c>
      <c r="K28" s="16">
        <f>K38</f>
        <v>876193.36400000006</v>
      </c>
      <c r="L28" s="16">
        <f>L38</f>
        <v>55927.236000000034</v>
      </c>
      <c r="M28" s="16"/>
      <c r="N28" s="16"/>
      <c r="O28" s="16"/>
      <c r="P28" s="16"/>
      <c r="Q28" s="18"/>
      <c r="R28" s="17" t="e">
        <f>#REF!+#REF!</f>
        <v>#REF!</v>
      </c>
      <c r="S28" s="17"/>
      <c r="T28" s="14" t="e">
        <f>#REF!+#REF!</f>
        <v>#REF!</v>
      </c>
      <c r="U28" s="12" t="e">
        <f>#REF!+#REF!</f>
        <v>#REF!</v>
      </c>
      <c r="V28" s="18" t="e">
        <f>#REF!</f>
        <v>#REF!</v>
      </c>
      <c r="W28" s="54"/>
      <c r="X28" s="56"/>
      <c r="Y28" s="56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spans="1:44" s="3" customFormat="1" ht="27" customHeight="1">
      <c r="A29" s="24"/>
      <c r="B29" s="106" t="s">
        <v>87</v>
      </c>
      <c r="C29" s="16"/>
      <c r="D29" s="16"/>
      <c r="E29" s="60"/>
      <c r="F29" s="60"/>
      <c r="G29" s="127"/>
      <c r="H29" s="16"/>
      <c r="I29" s="16"/>
      <c r="J29" s="16"/>
      <c r="K29" s="16"/>
      <c r="L29" s="16"/>
      <c r="M29" s="16"/>
      <c r="N29" s="16"/>
      <c r="O29" s="16"/>
      <c r="P29" s="16"/>
      <c r="Q29" s="18"/>
      <c r="R29" s="17"/>
      <c r="S29" s="17"/>
      <c r="T29" s="14"/>
      <c r="U29" s="12"/>
      <c r="V29" s="18"/>
      <c r="W29" s="54"/>
      <c r="X29" s="56"/>
      <c r="Y29" s="56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</row>
    <row r="30" spans="1:44" s="3" customFormat="1" ht="27" customHeight="1">
      <c r="A30" s="24">
        <v>12</v>
      </c>
      <c r="B30" s="106" t="s">
        <v>64</v>
      </c>
      <c r="C30" s="45">
        <v>0.28999999999999998</v>
      </c>
      <c r="D30" s="16"/>
      <c r="E30" s="49">
        <v>3351.59575</v>
      </c>
      <c r="F30" s="49">
        <v>3150.5</v>
      </c>
      <c r="G30" s="61">
        <v>201.09574999999995</v>
      </c>
      <c r="H30" s="16"/>
      <c r="I30" s="16"/>
      <c r="J30" s="16"/>
      <c r="K30" s="16"/>
      <c r="L30" s="16"/>
      <c r="M30" s="16"/>
      <c r="N30" s="16"/>
      <c r="O30" s="16"/>
      <c r="P30" s="16"/>
      <c r="Q30" s="18"/>
      <c r="R30" s="17"/>
      <c r="S30" s="17"/>
      <c r="T30" s="14"/>
      <c r="U30" s="12"/>
      <c r="V30" s="18"/>
      <c r="W30" s="54"/>
      <c r="X30" s="56"/>
      <c r="Y30" s="56"/>
      <c r="Z30" s="2"/>
      <c r="AA30" s="2" t="s">
        <v>21</v>
      </c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 s="3" customFormat="1" ht="27" customHeight="1">
      <c r="A31" s="24">
        <v>13</v>
      </c>
      <c r="B31" s="106" t="s">
        <v>48</v>
      </c>
      <c r="C31" s="45">
        <v>8.9819999999999993</v>
      </c>
      <c r="D31" s="16"/>
      <c r="E31" s="49">
        <v>57484.03</v>
      </c>
      <c r="F31" s="49">
        <v>54035</v>
      </c>
      <c r="G31" s="61">
        <f t="shared" ref="G31" si="5">E31-F31</f>
        <v>3449.0299999999988</v>
      </c>
      <c r="H31" s="16"/>
      <c r="I31" s="16"/>
      <c r="J31" s="16"/>
      <c r="K31" s="16"/>
      <c r="L31" s="16"/>
      <c r="M31" s="16"/>
      <c r="N31" s="16"/>
      <c r="O31" s="16"/>
      <c r="P31" s="16"/>
      <c r="Q31" s="18"/>
      <c r="R31" s="17"/>
      <c r="S31" s="17"/>
      <c r="T31" s="14"/>
      <c r="U31" s="12"/>
      <c r="V31" s="18"/>
      <c r="W31" s="54"/>
      <c r="X31" s="56"/>
      <c r="Y31" s="56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spans="1:44" s="3" customFormat="1" ht="27" customHeight="1">
      <c r="A32" s="24">
        <v>14</v>
      </c>
      <c r="B32" s="106" t="s">
        <v>91</v>
      </c>
      <c r="C32" s="45">
        <v>1</v>
      </c>
      <c r="D32" s="73"/>
      <c r="E32" s="49">
        <v>8150.9138000000003</v>
      </c>
      <c r="F32" s="49">
        <v>7661.8589700000002</v>
      </c>
      <c r="G32" s="61">
        <f>E32-F32</f>
        <v>489.05483000000004</v>
      </c>
      <c r="H32" s="16"/>
      <c r="I32" s="16"/>
      <c r="J32" s="16"/>
      <c r="K32" s="16"/>
      <c r="L32" s="16"/>
      <c r="M32" s="16"/>
      <c r="N32" s="16"/>
      <c r="O32" s="16"/>
      <c r="P32" s="16"/>
      <c r="Q32" s="18"/>
      <c r="R32" s="17"/>
      <c r="S32" s="17"/>
      <c r="T32" s="14"/>
      <c r="U32" s="12"/>
      <c r="V32" s="18"/>
      <c r="W32" s="54"/>
      <c r="X32" s="56"/>
      <c r="Y32" s="56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spans="1:44" s="3" customFormat="1" ht="27" customHeight="1">
      <c r="A33" s="24">
        <v>15</v>
      </c>
      <c r="B33" s="106" t="s">
        <v>49</v>
      </c>
      <c r="C33" s="45">
        <v>0.81499999999999995</v>
      </c>
      <c r="D33" s="73"/>
      <c r="E33" s="49">
        <v>5099.68</v>
      </c>
      <c r="F33" s="49">
        <v>4793.6992</v>
      </c>
      <c r="G33" s="61">
        <f>E33-F33</f>
        <v>305.98080000000027</v>
      </c>
      <c r="H33" s="16"/>
      <c r="I33" s="16"/>
      <c r="J33" s="16"/>
      <c r="K33" s="16"/>
      <c r="L33" s="16"/>
      <c r="M33" s="16"/>
      <c r="N33" s="16"/>
      <c r="O33" s="16"/>
      <c r="P33" s="16"/>
      <c r="Q33" s="18"/>
      <c r="R33" s="17"/>
      <c r="S33" s="17"/>
      <c r="T33" s="14"/>
      <c r="U33" s="12"/>
      <c r="V33" s="18"/>
      <c r="W33" s="54"/>
      <c r="X33" s="56"/>
      <c r="Y33" s="56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</row>
    <row r="34" spans="1:44" s="3" customFormat="1" ht="27" customHeight="1">
      <c r="A34" s="24">
        <v>16</v>
      </c>
      <c r="B34" s="106" t="s">
        <v>50</v>
      </c>
      <c r="C34" s="45">
        <v>2.6389999999999998</v>
      </c>
      <c r="D34" s="73"/>
      <c r="E34" s="49">
        <v>14699.046200000001</v>
      </c>
      <c r="F34" s="49">
        <v>13817.103429999999</v>
      </c>
      <c r="G34" s="61">
        <f t="shared" ref="G34:G37" si="6">E34-F34</f>
        <v>881.94277000000147</v>
      </c>
      <c r="H34" s="16"/>
      <c r="I34" s="16"/>
      <c r="J34" s="16"/>
      <c r="K34" s="16"/>
      <c r="L34" s="16"/>
      <c r="M34" s="16"/>
      <c r="N34" s="16"/>
      <c r="O34" s="16"/>
      <c r="P34" s="16"/>
      <c r="Q34" s="18"/>
      <c r="R34" s="17"/>
      <c r="S34" s="17"/>
      <c r="T34" s="14"/>
      <c r="U34" s="12"/>
      <c r="V34" s="18"/>
      <c r="W34" s="54" t="s">
        <v>21</v>
      </c>
      <c r="X34" s="56"/>
      <c r="Y34" s="56"/>
      <c r="Z34" s="2" t="s">
        <v>32</v>
      </c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</row>
    <row r="35" spans="1:44" s="3" customFormat="1" ht="27" customHeight="1">
      <c r="A35" s="24">
        <v>17</v>
      </c>
      <c r="B35" s="106" t="s">
        <v>51</v>
      </c>
      <c r="C35" s="45">
        <v>2.7749999999999999</v>
      </c>
      <c r="D35" s="73"/>
      <c r="E35" s="49">
        <v>17157.099999999999</v>
      </c>
      <c r="F35" s="49">
        <v>16127.674000000001</v>
      </c>
      <c r="G35" s="61">
        <f t="shared" si="6"/>
        <v>1029.4259999999977</v>
      </c>
      <c r="H35" s="16"/>
      <c r="I35" s="16"/>
      <c r="J35" s="16"/>
      <c r="K35" s="16"/>
      <c r="L35" s="16"/>
      <c r="M35" s="16"/>
      <c r="N35" s="16"/>
      <c r="O35" s="16"/>
      <c r="P35" s="16"/>
      <c r="Q35" s="18"/>
      <c r="R35" s="17"/>
      <c r="S35" s="17"/>
      <c r="T35" s="14"/>
      <c r="U35" s="12"/>
      <c r="V35" s="18"/>
      <c r="W35" s="54"/>
      <c r="X35" s="56"/>
      <c r="Y35" s="56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</row>
    <row r="36" spans="1:44" s="3" customFormat="1" ht="27" customHeight="1">
      <c r="A36" s="7">
        <v>18</v>
      </c>
      <c r="B36" s="106" t="s">
        <v>52</v>
      </c>
      <c r="C36" s="45">
        <v>0.53200000000000003</v>
      </c>
      <c r="D36" s="73"/>
      <c r="E36" s="49">
        <v>3334.39</v>
      </c>
      <c r="F36" s="49">
        <v>3134.3265999999999</v>
      </c>
      <c r="G36" s="61">
        <f t="shared" si="6"/>
        <v>200.0634</v>
      </c>
      <c r="H36" s="16"/>
      <c r="I36" s="16"/>
      <c r="J36" s="16"/>
      <c r="K36" s="16"/>
      <c r="L36" s="16"/>
      <c r="M36" s="16"/>
      <c r="N36" s="16"/>
      <c r="O36" s="16"/>
      <c r="P36" s="16"/>
      <c r="Q36" s="18"/>
      <c r="R36" s="17"/>
      <c r="S36" s="17"/>
      <c r="T36" s="14"/>
      <c r="U36" s="12"/>
      <c r="V36" s="18"/>
      <c r="W36" s="54"/>
      <c r="X36" s="56"/>
      <c r="Y36" s="56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</row>
    <row r="37" spans="1:44" s="3" customFormat="1" ht="39" customHeight="1">
      <c r="A37" s="24">
        <v>19</v>
      </c>
      <c r="B37" s="106" t="s">
        <v>60</v>
      </c>
      <c r="C37" s="45">
        <v>0.115</v>
      </c>
      <c r="D37" s="73"/>
      <c r="E37" s="49">
        <v>3571.6439999999998</v>
      </c>
      <c r="F37" s="49">
        <v>3357.3380000000002</v>
      </c>
      <c r="G37" s="61">
        <f t="shared" si="6"/>
        <v>214.30599999999959</v>
      </c>
      <c r="H37" s="16"/>
      <c r="I37" s="16"/>
      <c r="J37" s="16"/>
      <c r="K37" s="16"/>
      <c r="L37" s="16"/>
      <c r="M37" s="16"/>
      <c r="N37" s="16"/>
      <c r="O37" s="16"/>
      <c r="P37" s="16"/>
      <c r="Q37" s="18"/>
      <c r="R37" s="121"/>
      <c r="S37" s="121"/>
      <c r="T37" s="122"/>
      <c r="U37" s="123"/>
      <c r="V37" s="124"/>
      <c r="W37" s="54"/>
      <c r="X37" s="56"/>
      <c r="Y37" s="56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</row>
    <row r="38" spans="1:44" s="3" customFormat="1" ht="27" customHeight="1">
      <c r="A38" s="7">
        <v>20</v>
      </c>
      <c r="B38" s="110" t="s">
        <v>135</v>
      </c>
      <c r="C38" s="45"/>
      <c r="D38" s="73"/>
      <c r="E38" s="49"/>
      <c r="F38" s="49"/>
      <c r="G38" s="61"/>
      <c r="H38" s="45">
        <f>105.6-8.982</f>
        <v>96.617999999999995</v>
      </c>
      <c r="I38" s="16"/>
      <c r="J38" s="49">
        <f>1000256.8-68136.2</f>
        <v>932120.60000000009</v>
      </c>
      <c r="K38" s="49">
        <f>J38*0.94</f>
        <v>876193.36400000006</v>
      </c>
      <c r="L38" s="49">
        <f>J38-K38</f>
        <v>55927.236000000034</v>
      </c>
      <c r="M38" s="16"/>
      <c r="N38" s="16"/>
      <c r="O38" s="16"/>
      <c r="P38" s="16"/>
      <c r="Q38" s="18"/>
      <c r="R38" s="121"/>
      <c r="S38" s="121"/>
      <c r="T38" s="122"/>
      <c r="U38" s="123"/>
      <c r="V38" s="124"/>
      <c r="W38" s="54"/>
      <c r="X38" s="56"/>
      <c r="Y38" s="56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</row>
    <row r="39" spans="1:44" s="3" customFormat="1" ht="27" customHeight="1">
      <c r="A39" s="7">
        <v>21</v>
      </c>
      <c r="B39" s="110" t="s">
        <v>136</v>
      </c>
      <c r="C39" s="45">
        <v>10.36</v>
      </c>
      <c r="D39" s="73"/>
      <c r="E39" s="49">
        <v>85106.4</v>
      </c>
      <c r="F39" s="49">
        <v>80000</v>
      </c>
      <c r="G39" s="61">
        <f>E39-F39</f>
        <v>5106.3999999999942</v>
      </c>
      <c r="H39" s="45"/>
      <c r="I39" s="16"/>
      <c r="J39" s="49">
        <v>25000</v>
      </c>
      <c r="K39" s="49">
        <f>J39*0.93</f>
        <v>23250</v>
      </c>
      <c r="L39" s="49">
        <f>J39-K39</f>
        <v>1750</v>
      </c>
      <c r="M39" s="16"/>
      <c r="N39" s="16"/>
      <c r="O39" s="16"/>
      <c r="P39" s="16"/>
      <c r="Q39" s="18"/>
      <c r="R39" s="121"/>
      <c r="S39" s="121"/>
      <c r="T39" s="122"/>
      <c r="U39" s="123"/>
      <c r="V39" s="124"/>
      <c r="W39" s="54"/>
      <c r="X39" s="56"/>
      <c r="Y39" s="56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</row>
    <row r="40" spans="1:44" s="3" customFormat="1" ht="27.2" customHeight="1">
      <c r="A40" s="7"/>
      <c r="B40" s="108" t="s">
        <v>9</v>
      </c>
      <c r="C40" s="16">
        <f>SUM(C42)</f>
        <v>0.85099999999999998</v>
      </c>
      <c r="D40" s="28"/>
      <c r="E40" s="58">
        <f>E42</f>
        <v>7163.3</v>
      </c>
      <c r="F40" s="58">
        <f>F42</f>
        <v>6733.5</v>
      </c>
      <c r="G40" s="125">
        <f>G42</f>
        <v>429.80000000000018</v>
      </c>
      <c r="H40" s="58"/>
      <c r="I40" s="58">
        <f>I43</f>
        <v>18</v>
      </c>
      <c r="J40" s="58">
        <f>J43</f>
        <v>11327</v>
      </c>
      <c r="K40" s="58">
        <f>K43</f>
        <v>10647.4</v>
      </c>
      <c r="L40" s="59">
        <f>L43</f>
        <v>679.60000000000036</v>
      </c>
      <c r="M40" s="59"/>
      <c r="N40" s="59"/>
      <c r="O40" s="59"/>
      <c r="P40" s="59"/>
      <c r="Q40" s="138"/>
      <c r="R40" s="75" t="e">
        <f>#REF!+#REF!</f>
        <v>#REF!</v>
      </c>
      <c r="S40" s="75"/>
      <c r="T40" s="47" t="e">
        <f>#REF!+#REF!</f>
        <v>#REF!</v>
      </c>
      <c r="U40" s="48" t="e">
        <f>#REF!+#REF!</f>
        <v>#REF!</v>
      </c>
      <c r="V40" s="100" t="e">
        <f>#REF!+#REF!</f>
        <v>#REF!</v>
      </c>
      <c r="W40" s="56"/>
      <c r="X40" s="56"/>
      <c r="Y40" s="56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</row>
    <row r="41" spans="1:44" s="3" customFormat="1" ht="30.75" customHeight="1">
      <c r="A41" s="7"/>
      <c r="B41" s="106" t="s">
        <v>87</v>
      </c>
      <c r="C41" s="16"/>
      <c r="D41" s="28"/>
      <c r="E41" s="58"/>
      <c r="F41" s="58"/>
      <c r="G41" s="125"/>
      <c r="H41" s="58"/>
      <c r="I41" s="58"/>
      <c r="J41" s="58"/>
      <c r="K41" s="58"/>
      <c r="L41" s="59"/>
      <c r="M41" s="59"/>
      <c r="N41" s="59"/>
      <c r="O41" s="59"/>
      <c r="P41" s="59"/>
      <c r="Q41" s="138"/>
      <c r="R41" s="75"/>
      <c r="S41" s="75"/>
      <c r="T41" s="47"/>
      <c r="U41" s="48"/>
      <c r="V41" s="100"/>
      <c r="W41" s="56"/>
      <c r="X41" s="56"/>
      <c r="Y41" s="56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</row>
    <row r="42" spans="1:44" s="3" customFormat="1" ht="27.2" customHeight="1">
      <c r="A42" s="24">
        <v>22</v>
      </c>
      <c r="B42" s="106" t="s">
        <v>53</v>
      </c>
      <c r="C42" s="45">
        <v>0.85099999999999998</v>
      </c>
      <c r="D42" s="13"/>
      <c r="E42" s="49">
        <v>7163.3</v>
      </c>
      <c r="F42" s="49">
        <v>6733.5</v>
      </c>
      <c r="G42" s="61">
        <v>429.80000000000018</v>
      </c>
      <c r="H42" s="21"/>
      <c r="I42" s="21"/>
      <c r="J42" s="21"/>
      <c r="K42" s="21"/>
      <c r="L42" s="21"/>
      <c r="M42" s="21"/>
      <c r="N42" s="21"/>
      <c r="O42" s="21"/>
      <c r="P42" s="21"/>
      <c r="Q42" s="139"/>
      <c r="R42" s="73"/>
      <c r="S42" s="73"/>
      <c r="T42" s="21"/>
      <c r="U42" s="35"/>
      <c r="V42" s="15"/>
      <c r="W42" s="56"/>
      <c r="X42" s="56"/>
      <c r="Y42" s="56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</row>
    <row r="43" spans="1:44" s="3" customFormat="1" ht="42" customHeight="1">
      <c r="A43" s="7">
        <v>23</v>
      </c>
      <c r="B43" s="106" t="s">
        <v>123</v>
      </c>
      <c r="C43" s="45"/>
      <c r="D43" s="13"/>
      <c r="E43" s="49"/>
      <c r="F43" s="49"/>
      <c r="G43" s="61"/>
      <c r="H43" s="21"/>
      <c r="I43" s="49">
        <f>6+12</f>
        <v>18</v>
      </c>
      <c r="J43" s="49">
        <v>11327</v>
      </c>
      <c r="K43" s="49">
        <v>10647.4</v>
      </c>
      <c r="L43" s="49">
        <f>J43-K43</f>
        <v>679.60000000000036</v>
      </c>
      <c r="M43" s="21"/>
      <c r="N43" s="21"/>
      <c r="O43" s="21"/>
      <c r="P43" s="21"/>
      <c r="Q43" s="139"/>
      <c r="R43" s="73"/>
      <c r="S43" s="73"/>
      <c r="T43" s="21"/>
      <c r="U43" s="35"/>
      <c r="V43" s="15"/>
      <c r="W43" s="56"/>
      <c r="X43" s="56"/>
      <c r="Y43" s="56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</row>
    <row r="44" spans="1:44" s="3" customFormat="1" ht="32.25" customHeight="1">
      <c r="A44" s="7"/>
      <c r="B44" s="108" t="s">
        <v>10</v>
      </c>
      <c r="C44" s="16">
        <f>SUM(C46:C48)</f>
        <v>2.3010000000000002</v>
      </c>
      <c r="D44" s="14"/>
      <c r="E44" s="16">
        <f>SUM(E46:E48)</f>
        <v>54627.979999999996</v>
      </c>
      <c r="F44" s="16">
        <f t="shared" ref="F44:G44" si="7">SUM(F46:F48)</f>
        <v>51350.3</v>
      </c>
      <c r="G44" s="16">
        <f t="shared" si="7"/>
        <v>3277.6800000000003</v>
      </c>
      <c r="H44" s="16">
        <f>H49+H50</f>
        <v>7.6760000000000002</v>
      </c>
      <c r="I44" s="16"/>
      <c r="J44" s="16">
        <f t="shared" ref="J44:L44" si="8">J49+J50</f>
        <v>198736.1</v>
      </c>
      <c r="K44" s="16">
        <f t="shared" si="8"/>
        <v>186811.93400000001</v>
      </c>
      <c r="L44" s="16">
        <f t="shared" si="8"/>
        <v>11924.166000000001</v>
      </c>
      <c r="M44" s="64"/>
      <c r="N44" s="64"/>
      <c r="O44" s="64"/>
      <c r="P44" s="64"/>
      <c r="Q44" s="140"/>
      <c r="R44" s="17" t="e">
        <f>#REF!</f>
        <v>#REF!</v>
      </c>
      <c r="S44" s="16"/>
      <c r="T44" s="16" t="e">
        <f>#REF!</f>
        <v>#REF!</v>
      </c>
      <c r="U44" s="16" t="e">
        <f>#REF!</f>
        <v>#REF!</v>
      </c>
      <c r="V44" s="18" t="e">
        <f>#REF!</f>
        <v>#REF!</v>
      </c>
      <c r="W44" s="82"/>
      <c r="X44" s="56"/>
      <c r="Y44" s="56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</row>
    <row r="45" spans="1:44" s="3" customFormat="1" ht="36.950000000000003" customHeight="1">
      <c r="A45" s="7"/>
      <c r="B45" s="106" t="s">
        <v>88</v>
      </c>
      <c r="C45" s="16"/>
      <c r="D45" s="14"/>
      <c r="E45" s="16"/>
      <c r="F45" s="16"/>
      <c r="G45" s="22"/>
      <c r="H45" s="16"/>
      <c r="I45" s="16"/>
      <c r="J45" s="16"/>
      <c r="K45" s="16"/>
      <c r="L45" s="64"/>
      <c r="M45" s="64"/>
      <c r="N45" s="64"/>
      <c r="O45" s="64"/>
      <c r="P45" s="64"/>
      <c r="Q45" s="140"/>
      <c r="R45" s="17"/>
      <c r="S45" s="17"/>
      <c r="T45" s="16"/>
      <c r="U45" s="22"/>
      <c r="V45" s="18"/>
      <c r="W45" s="82"/>
      <c r="X45" s="56"/>
      <c r="Y45" s="56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</row>
    <row r="46" spans="1:44" s="3" customFormat="1" ht="33" customHeight="1">
      <c r="A46" s="24">
        <v>24</v>
      </c>
      <c r="B46" s="106" t="s">
        <v>96</v>
      </c>
      <c r="C46" s="45">
        <v>0.34100000000000003</v>
      </c>
      <c r="D46" s="13"/>
      <c r="E46" s="49">
        <v>10374.5</v>
      </c>
      <c r="F46" s="49">
        <v>9752</v>
      </c>
      <c r="G46" s="49">
        <f>E46-F46</f>
        <v>622.5</v>
      </c>
      <c r="H46" s="21"/>
      <c r="I46" s="21"/>
      <c r="J46" s="21"/>
      <c r="K46" s="21"/>
      <c r="L46" s="21"/>
      <c r="M46" s="21"/>
      <c r="N46" s="21"/>
      <c r="O46" s="21"/>
      <c r="P46" s="21"/>
      <c r="Q46" s="139"/>
      <c r="R46" s="73"/>
      <c r="S46" s="73"/>
      <c r="T46" s="21"/>
      <c r="U46" s="35"/>
      <c r="V46" s="15"/>
      <c r="W46" s="56"/>
      <c r="X46" s="56"/>
      <c r="Y46" s="56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</row>
    <row r="47" spans="1:44" s="3" customFormat="1" ht="27" customHeight="1">
      <c r="A47" s="24">
        <v>25</v>
      </c>
      <c r="B47" s="106" t="s">
        <v>71</v>
      </c>
      <c r="C47" s="45">
        <f>(1.25-0.57)+0.43</f>
        <v>1.1100000000000001</v>
      </c>
      <c r="D47" s="13"/>
      <c r="E47" s="49">
        <v>27638.82</v>
      </c>
      <c r="F47" s="49">
        <v>25980.5</v>
      </c>
      <c r="G47" s="49">
        <f>E47-F47</f>
        <v>1658.3199999999997</v>
      </c>
      <c r="H47" s="21"/>
      <c r="I47" s="21"/>
      <c r="J47" s="21"/>
      <c r="K47" s="21"/>
      <c r="L47" s="21"/>
      <c r="M47" s="21"/>
      <c r="N47" s="21"/>
      <c r="O47" s="21"/>
      <c r="P47" s="21"/>
      <c r="Q47" s="139"/>
      <c r="R47" s="73"/>
      <c r="S47" s="73"/>
      <c r="T47" s="21"/>
      <c r="U47" s="35"/>
      <c r="V47" s="15"/>
      <c r="W47" s="56"/>
      <c r="X47" s="56"/>
      <c r="Y47" s="56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</row>
    <row r="48" spans="1:44" s="3" customFormat="1" ht="63" customHeight="1">
      <c r="A48" s="24">
        <v>26</v>
      </c>
      <c r="B48" s="106" t="s">
        <v>101</v>
      </c>
      <c r="C48" s="45">
        <v>0.85</v>
      </c>
      <c r="D48" s="13"/>
      <c r="E48" s="49">
        <v>16614.66</v>
      </c>
      <c r="F48" s="49">
        <v>15617.8</v>
      </c>
      <c r="G48" s="49">
        <f>E48-F48</f>
        <v>996.86000000000058</v>
      </c>
      <c r="H48" s="21"/>
      <c r="I48" s="21"/>
      <c r="J48" s="21"/>
      <c r="K48" s="21"/>
      <c r="L48" s="21"/>
      <c r="M48" s="21"/>
      <c r="N48" s="21"/>
      <c r="O48" s="21"/>
      <c r="P48" s="21"/>
      <c r="Q48" s="139"/>
      <c r="R48" s="73"/>
      <c r="S48" s="73"/>
      <c r="T48" s="21"/>
      <c r="U48" s="35"/>
      <c r="V48" s="15"/>
      <c r="W48" s="56"/>
      <c r="X48" s="56"/>
      <c r="Y48" s="56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</row>
    <row r="49" spans="1:44" s="3" customFormat="1" ht="27" customHeight="1">
      <c r="A49" s="24">
        <v>27</v>
      </c>
      <c r="B49" s="106" t="s">
        <v>124</v>
      </c>
      <c r="C49" s="45"/>
      <c r="D49" s="13"/>
      <c r="E49" s="49"/>
      <c r="F49" s="49"/>
      <c r="G49" s="49"/>
      <c r="H49" s="45">
        <v>4.266</v>
      </c>
      <c r="I49" s="16"/>
      <c r="J49" s="49">
        <v>125836.1</v>
      </c>
      <c r="K49" s="49">
        <f>J49-L49</f>
        <v>118285.93400000001</v>
      </c>
      <c r="L49" s="49">
        <f>J49*0.06</f>
        <v>7550.1660000000002</v>
      </c>
      <c r="M49" s="21"/>
      <c r="N49" s="21"/>
      <c r="O49" s="21"/>
      <c r="P49" s="21"/>
      <c r="Q49" s="139"/>
      <c r="R49" s="73"/>
      <c r="S49" s="73"/>
      <c r="T49" s="21"/>
      <c r="U49" s="35"/>
      <c r="V49" s="15"/>
      <c r="W49" s="56"/>
      <c r="X49" s="56"/>
      <c r="Y49" s="56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</row>
    <row r="50" spans="1:44" s="3" customFormat="1" ht="27" customHeight="1">
      <c r="A50" s="24">
        <v>28</v>
      </c>
      <c r="B50" s="106" t="s">
        <v>147</v>
      </c>
      <c r="C50" s="45"/>
      <c r="D50" s="13"/>
      <c r="E50" s="49"/>
      <c r="F50" s="49"/>
      <c r="G50" s="49"/>
      <c r="H50" s="45">
        <v>3.41</v>
      </c>
      <c r="I50" s="16"/>
      <c r="J50" s="49">
        <f>72900</f>
        <v>72900</v>
      </c>
      <c r="K50" s="49">
        <f>J50-L50</f>
        <v>68526</v>
      </c>
      <c r="L50" s="49">
        <f>J50*0.06</f>
        <v>4374</v>
      </c>
      <c r="M50" s="21"/>
      <c r="N50" s="21"/>
      <c r="O50" s="21"/>
      <c r="P50" s="21"/>
      <c r="Q50" s="139"/>
      <c r="R50" s="73"/>
      <c r="S50" s="73"/>
      <c r="T50" s="21"/>
      <c r="U50" s="35"/>
      <c r="V50" s="15"/>
      <c r="W50" s="56"/>
      <c r="X50" s="56"/>
      <c r="Y50" s="56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</row>
    <row r="51" spans="1:44" s="3" customFormat="1" ht="27.2" hidden="1" customHeight="1">
      <c r="A51" s="24"/>
      <c r="B51" s="105" t="s">
        <v>11</v>
      </c>
      <c r="C51" s="28"/>
      <c r="D51" s="28"/>
      <c r="E51" s="28"/>
      <c r="F51" s="28"/>
      <c r="G51" s="28"/>
      <c r="H51" s="58"/>
      <c r="I51" s="58"/>
      <c r="J51" s="58"/>
      <c r="K51" s="58"/>
      <c r="L51" s="58"/>
      <c r="M51" s="58"/>
      <c r="N51" s="58"/>
      <c r="O51" s="58"/>
      <c r="P51" s="58"/>
      <c r="Q51" s="141"/>
      <c r="R51" s="73"/>
      <c r="S51" s="73"/>
      <c r="T51" s="21"/>
      <c r="U51" s="35"/>
      <c r="V51" s="15"/>
      <c r="W51" s="56"/>
      <c r="X51" s="56"/>
      <c r="Y51" s="56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</row>
    <row r="52" spans="1:44" s="3" customFormat="1" ht="24.75" hidden="1" customHeight="1">
      <c r="A52" s="24"/>
      <c r="B52" s="106"/>
      <c r="C52" s="27"/>
      <c r="D52" s="27"/>
      <c r="E52" s="27"/>
      <c r="F52" s="27"/>
      <c r="G52" s="27"/>
      <c r="H52" s="81"/>
      <c r="I52" s="27"/>
      <c r="J52" s="27"/>
      <c r="K52" s="27"/>
      <c r="L52" s="27"/>
      <c r="M52" s="27"/>
      <c r="N52" s="27"/>
      <c r="O52" s="27"/>
      <c r="P52" s="27"/>
      <c r="Q52" s="137"/>
      <c r="R52" s="41"/>
      <c r="S52" s="41"/>
      <c r="T52" s="23"/>
      <c r="U52" s="36"/>
      <c r="V52" s="15"/>
      <c r="W52" s="56"/>
      <c r="X52" s="56"/>
      <c r="Y52" s="56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</row>
    <row r="53" spans="1:44" s="3" customFormat="1" ht="27.2" customHeight="1">
      <c r="A53" s="24"/>
      <c r="B53" s="105" t="s">
        <v>12</v>
      </c>
      <c r="C53" s="16">
        <f>SUM(C55:C64)</f>
        <v>6.5550000000000015</v>
      </c>
      <c r="D53" s="14"/>
      <c r="E53" s="16">
        <f>SUM(E55:E64)</f>
        <v>75358.5</v>
      </c>
      <c r="F53" s="16">
        <f t="shared" ref="F53:G53" si="9">SUM(F55:F64)</f>
        <v>71590.600000000006</v>
      </c>
      <c r="G53" s="16">
        <f t="shared" si="9"/>
        <v>3767.9000000000051</v>
      </c>
      <c r="H53" s="58"/>
      <c r="I53" s="16"/>
      <c r="J53" s="16"/>
      <c r="K53" s="16"/>
      <c r="L53" s="16"/>
      <c r="M53" s="16"/>
      <c r="N53" s="16"/>
      <c r="O53" s="16"/>
      <c r="P53" s="16"/>
      <c r="Q53" s="18"/>
      <c r="R53" s="17">
        <f>R55</f>
        <v>3.62</v>
      </c>
      <c r="S53" s="16"/>
      <c r="T53" s="16">
        <f>T55</f>
        <v>46144</v>
      </c>
      <c r="U53" s="16">
        <f>U55</f>
        <v>43837</v>
      </c>
      <c r="V53" s="18">
        <f>V55</f>
        <v>2307</v>
      </c>
      <c r="W53" s="56"/>
      <c r="X53" s="56"/>
      <c r="Y53" s="56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</row>
    <row r="54" spans="1:44" s="3" customFormat="1" ht="29.25" customHeight="1">
      <c r="A54" s="24"/>
      <c r="B54" s="106" t="s">
        <v>87</v>
      </c>
      <c r="C54" s="16"/>
      <c r="D54" s="14"/>
      <c r="E54" s="23"/>
      <c r="F54" s="60"/>
      <c r="G54" s="16"/>
      <c r="H54" s="58"/>
      <c r="I54" s="16"/>
      <c r="J54" s="16"/>
      <c r="K54" s="16"/>
      <c r="L54" s="16"/>
      <c r="M54" s="16"/>
      <c r="N54" s="16"/>
      <c r="O54" s="16"/>
      <c r="P54" s="16"/>
      <c r="Q54" s="18"/>
      <c r="R54" s="17"/>
      <c r="S54" s="17"/>
      <c r="T54" s="16"/>
      <c r="U54" s="22"/>
      <c r="V54" s="18"/>
      <c r="W54" s="56"/>
      <c r="X54" s="56"/>
      <c r="Y54" s="56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</row>
    <row r="55" spans="1:44" s="3" customFormat="1" ht="27" customHeight="1">
      <c r="A55" s="24">
        <v>29</v>
      </c>
      <c r="B55" s="106" t="s">
        <v>65</v>
      </c>
      <c r="C55" s="45">
        <v>1.83</v>
      </c>
      <c r="D55" s="27"/>
      <c r="E55" s="49">
        <v>30133</v>
      </c>
      <c r="F55" s="96">
        <f>E55*0.95</f>
        <v>28626.35</v>
      </c>
      <c r="G55" s="96">
        <f>E55-F55</f>
        <v>1506.6500000000015</v>
      </c>
      <c r="H55" s="81"/>
      <c r="I55" s="27"/>
      <c r="J55" s="27"/>
      <c r="K55" s="27"/>
      <c r="L55" s="27"/>
      <c r="M55" s="27"/>
      <c r="N55" s="27"/>
      <c r="O55" s="27"/>
      <c r="P55" s="27"/>
      <c r="Q55" s="137"/>
      <c r="R55" s="89">
        <v>3.62</v>
      </c>
      <c r="S55" s="89"/>
      <c r="T55" s="49">
        <v>46144</v>
      </c>
      <c r="U55" s="61">
        <v>43837</v>
      </c>
      <c r="V55" s="63">
        <f>T55-U55</f>
        <v>2307</v>
      </c>
      <c r="W55" s="56"/>
      <c r="X55" s="56"/>
      <c r="Y55" s="56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</row>
    <row r="56" spans="1:44" s="3" customFormat="1" ht="27" customHeight="1">
      <c r="A56" s="24">
        <v>30</v>
      </c>
      <c r="B56" s="106" t="s">
        <v>66</v>
      </c>
      <c r="C56" s="45">
        <v>1.79</v>
      </c>
      <c r="D56" s="27"/>
      <c r="E56" s="49">
        <v>16011</v>
      </c>
      <c r="F56" s="96">
        <f>E56*0.95</f>
        <v>15210.449999999999</v>
      </c>
      <c r="G56" s="96">
        <f>E56-F56</f>
        <v>800.55000000000109</v>
      </c>
      <c r="H56" s="81"/>
      <c r="I56" s="27"/>
      <c r="J56" s="27"/>
      <c r="K56" s="27"/>
      <c r="L56" s="27"/>
      <c r="M56" s="27"/>
      <c r="N56" s="27"/>
      <c r="O56" s="27"/>
      <c r="P56" s="27"/>
      <c r="Q56" s="137"/>
      <c r="R56" s="89"/>
      <c r="S56" s="89"/>
      <c r="T56" s="49"/>
      <c r="U56" s="61"/>
      <c r="V56" s="63"/>
      <c r="W56" s="56"/>
      <c r="X56" s="56"/>
      <c r="Y56" s="56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</row>
    <row r="57" spans="1:44" s="3" customFormat="1" ht="27" customHeight="1">
      <c r="A57" s="24">
        <v>31</v>
      </c>
      <c r="B57" s="106" t="s">
        <v>115</v>
      </c>
      <c r="C57" s="45">
        <v>0.6</v>
      </c>
      <c r="D57" s="27"/>
      <c r="E57" s="49">
        <v>5485.2449999999999</v>
      </c>
      <c r="F57" s="96">
        <f>E57*0.95</f>
        <v>5210.9827499999992</v>
      </c>
      <c r="G57" s="96">
        <f>E57-F57</f>
        <v>274.26225000000068</v>
      </c>
      <c r="H57" s="129"/>
      <c r="I57" s="129"/>
      <c r="J57" s="129"/>
      <c r="K57" s="129"/>
      <c r="L57" s="129"/>
      <c r="M57" s="129"/>
      <c r="N57" s="27"/>
      <c r="O57" s="27"/>
      <c r="P57" s="27"/>
      <c r="Q57" s="137"/>
      <c r="R57" s="89"/>
      <c r="S57" s="89"/>
      <c r="T57" s="49"/>
      <c r="U57" s="61"/>
      <c r="V57" s="63"/>
      <c r="W57" s="56"/>
      <c r="X57" s="56"/>
      <c r="Y57" s="56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</row>
    <row r="58" spans="1:44" s="3" customFormat="1" ht="27" customHeight="1">
      <c r="A58" s="24">
        <v>32</v>
      </c>
      <c r="B58" s="106" t="s">
        <v>116</v>
      </c>
      <c r="C58" s="45">
        <v>0.2</v>
      </c>
      <c r="D58" s="27"/>
      <c r="E58" s="49">
        <v>1828.415</v>
      </c>
      <c r="F58" s="96">
        <f t="shared" ref="F58:F63" si="10">E58*0.95</f>
        <v>1736.99425</v>
      </c>
      <c r="G58" s="96">
        <f t="shared" ref="G58:G64" si="11">E58-F58</f>
        <v>91.420749999999998</v>
      </c>
      <c r="H58" s="129"/>
      <c r="I58" s="129"/>
      <c r="J58" s="129"/>
      <c r="K58" s="129"/>
      <c r="L58" s="129"/>
      <c r="M58" s="129"/>
      <c r="N58" s="27"/>
      <c r="O58" s="27"/>
      <c r="P58" s="27"/>
      <c r="Q58" s="137"/>
      <c r="R58" s="89"/>
      <c r="S58" s="89"/>
      <c r="T58" s="49"/>
      <c r="U58" s="61"/>
      <c r="V58" s="63"/>
      <c r="W58" s="56"/>
      <c r="X58" s="56"/>
      <c r="Y58" s="56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</row>
    <row r="59" spans="1:44" s="3" customFormat="1" ht="27" customHeight="1">
      <c r="A59" s="24">
        <v>33</v>
      </c>
      <c r="B59" s="106" t="s">
        <v>117</v>
      </c>
      <c r="C59" s="45">
        <v>0.15</v>
      </c>
      <c r="D59" s="27"/>
      <c r="E59" s="49">
        <v>1371.3050000000001</v>
      </c>
      <c r="F59" s="96">
        <f t="shared" si="10"/>
        <v>1302.73975</v>
      </c>
      <c r="G59" s="96">
        <f t="shared" si="11"/>
        <v>68.565250000000106</v>
      </c>
      <c r="H59" s="129"/>
      <c r="I59" s="129"/>
      <c r="J59" s="129"/>
      <c r="K59" s="129"/>
      <c r="L59" s="129"/>
      <c r="M59" s="129"/>
      <c r="N59" s="27"/>
      <c r="O59" s="27"/>
      <c r="P59" s="27"/>
      <c r="Q59" s="137"/>
      <c r="R59" s="89"/>
      <c r="S59" s="89"/>
      <c r="T59" s="49"/>
      <c r="U59" s="61"/>
      <c r="V59" s="63"/>
      <c r="W59" s="56"/>
      <c r="X59" s="56"/>
      <c r="Y59" s="56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</row>
    <row r="60" spans="1:44" s="3" customFormat="1" ht="27" customHeight="1">
      <c r="A60" s="24">
        <v>34</v>
      </c>
      <c r="B60" s="106" t="s">
        <v>118</v>
      </c>
      <c r="C60" s="45">
        <v>0.4</v>
      </c>
      <c r="D60" s="27"/>
      <c r="E60" s="49">
        <v>3656.8249999999998</v>
      </c>
      <c r="F60" s="96">
        <f t="shared" si="10"/>
        <v>3473.9837499999999</v>
      </c>
      <c r="G60" s="96">
        <f t="shared" si="11"/>
        <v>182.84124999999995</v>
      </c>
      <c r="H60" s="129"/>
      <c r="I60" s="129"/>
      <c r="J60" s="129"/>
      <c r="K60" s="129"/>
      <c r="L60" s="129"/>
      <c r="M60" s="129"/>
      <c r="N60" s="27"/>
      <c r="O60" s="27"/>
      <c r="P60" s="27"/>
      <c r="Q60" s="137"/>
      <c r="R60" s="89"/>
      <c r="S60" s="89"/>
      <c r="T60" s="49"/>
      <c r="U60" s="61"/>
      <c r="V60" s="63"/>
      <c r="W60" s="56"/>
      <c r="X60" s="56"/>
      <c r="Y60" s="56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</row>
    <row r="61" spans="1:44" s="3" customFormat="1" ht="27" customHeight="1">
      <c r="A61" s="24">
        <v>35</v>
      </c>
      <c r="B61" s="106" t="s">
        <v>119</v>
      </c>
      <c r="C61" s="45">
        <v>0.2</v>
      </c>
      <c r="D61" s="27"/>
      <c r="E61" s="49">
        <v>1828.415</v>
      </c>
      <c r="F61" s="96">
        <f t="shared" si="10"/>
        <v>1736.99425</v>
      </c>
      <c r="G61" s="96">
        <f t="shared" si="11"/>
        <v>91.420749999999998</v>
      </c>
      <c r="H61" s="129"/>
      <c r="I61" s="129"/>
      <c r="J61" s="129"/>
      <c r="K61" s="129"/>
      <c r="L61" s="129"/>
      <c r="M61" s="129"/>
      <c r="N61" s="27"/>
      <c r="O61" s="27"/>
      <c r="P61" s="27"/>
      <c r="Q61" s="137"/>
      <c r="R61" s="89"/>
      <c r="S61" s="89"/>
      <c r="T61" s="49"/>
      <c r="U61" s="61"/>
      <c r="V61" s="63"/>
      <c r="W61" s="56"/>
      <c r="X61" s="56"/>
      <c r="Y61" s="56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</row>
    <row r="62" spans="1:44" s="3" customFormat="1" ht="27" customHeight="1">
      <c r="A62" s="24">
        <v>36</v>
      </c>
      <c r="B62" s="106" t="s">
        <v>120</v>
      </c>
      <c r="C62" s="45">
        <v>0.2</v>
      </c>
      <c r="D62" s="27"/>
      <c r="E62" s="49">
        <v>1828.415</v>
      </c>
      <c r="F62" s="96">
        <f t="shared" si="10"/>
        <v>1736.99425</v>
      </c>
      <c r="G62" s="96">
        <f t="shared" si="11"/>
        <v>91.420749999999998</v>
      </c>
      <c r="H62" s="129"/>
      <c r="I62" s="129"/>
      <c r="J62" s="129"/>
      <c r="K62" s="129"/>
      <c r="L62" s="129"/>
      <c r="M62" s="129"/>
      <c r="N62" s="27"/>
      <c r="O62" s="27"/>
      <c r="P62" s="27"/>
      <c r="Q62" s="137"/>
      <c r="R62" s="89"/>
      <c r="S62" s="89"/>
      <c r="T62" s="49"/>
      <c r="U62" s="61"/>
      <c r="V62" s="63"/>
      <c r="W62" s="56"/>
      <c r="X62" s="56"/>
      <c r="Y62" s="56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</row>
    <row r="63" spans="1:44" s="3" customFormat="1" ht="27" customHeight="1">
      <c r="A63" s="24">
        <v>37</v>
      </c>
      <c r="B63" s="106" t="s">
        <v>122</v>
      </c>
      <c r="C63" s="45">
        <v>0.65</v>
      </c>
      <c r="D63" s="27"/>
      <c r="E63" s="49">
        <v>7625.2849999999999</v>
      </c>
      <c r="F63" s="96">
        <f t="shared" si="10"/>
        <v>7244.0207499999997</v>
      </c>
      <c r="G63" s="96">
        <f t="shared" si="11"/>
        <v>381.26425000000017</v>
      </c>
      <c r="H63" s="129"/>
      <c r="I63" s="129"/>
      <c r="J63" s="129"/>
      <c r="K63" s="129"/>
      <c r="L63" s="129"/>
      <c r="M63" s="129"/>
      <c r="N63" s="27"/>
      <c r="O63" s="27"/>
      <c r="P63" s="27"/>
      <c r="Q63" s="137"/>
      <c r="R63" s="89"/>
      <c r="S63" s="89"/>
      <c r="T63" s="49"/>
      <c r="U63" s="61"/>
      <c r="V63" s="63"/>
      <c r="W63" s="56"/>
      <c r="X63" s="56"/>
      <c r="Y63" s="56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</row>
    <row r="64" spans="1:44" s="3" customFormat="1" ht="27" customHeight="1">
      <c r="A64" s="24">
        <v>38</v>
      </c>
      <c r="B64" s="106" t="s">
        <v>121</v>
      </c>
      <c r="C64" s="45">
        <v>0.53500000000000003</v>
      </c>
      <c r="D64" s="27"/>
      <c r="E64" s="49">
        <f>5590.54+0.055</f>
        <v>5590.5950000000003</v>
      </c>
      <c r="F64" s="96">
        <f>E64*0.95+0.025</f>
        <v>5311.0902499999993</v>
      </c>
      <c r="G64" s="96">
        <f t="shared" si="11"/>
        <v>279.50475000000097</v>
      </c>
      <c r="H64" s="130"/>
      <c r="I64" s="130"/>
      <c r="J64" s="130"/>
      <c r="K64" s="130"/>
      <c r="L64" s="130"/>
      <c r="M64" s="130"/>
      <c r="N64" s="27"/>
      <c r="O64" s="27"/>
      <c r="P64" s="27"/>
      <c r="Q64" s="137"/>
      <c r="R64" s="89"/>
      <c r="S64" s="89"/>
      <c r="T64" s="49"/>
      <c r="U64" s="61"/>
      <c r="V64" s="63"/>
      <c r="W64" s="56"/>
      <c r="X64" s="56"/>
      <c r="Y64" s="56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</row>
    <row r="65" spans="1:44" s="3" customFormat="1" ht="29.25" customHeight="1">
      <c r="A65" s="24"/>
      <c r="B65" s="105" t="s">
        <v>13</v>
      </c>
      <c r="C65" s="16">
        <f>C66</f>
        <v>3.3730000000000002</v>
      </c>
      <c r="D65" s="14"/>
      <c r="E65" s="16">
        <f>E66</f>
        <v>40000</v>
      </c>
      <c r="F65" s="16">
        <f t="shared" ref="F65:G65" si="12">F66</f>
        <v>38000</v>
      </c>
      <c r="G65" s="16">
        <f t="shared" si="12"/>
        <v>2000.0000000000034</v>
      </c>
      <c r="H65" s="16"/>
      <c r="I65" s="16"/>
      <c r="J65" s="16"/>
      <c r="K65" s="16"/>
      <c r="L65" s="16"/>
      <c r="M65" s="16"/>
      <c r="N65" s="16"/>
      <c r="O65" s="16"/>
      <c r="P65" s="16"/>
      <c r="Q65" s="18"/>
      <c r="R65" s="76">
        <f>R66</f>
        <v>1.6</v>
      </c>
      <c r="S65" s="51"/>
      <c r="T65" s="16">
        <f>T66</f>
        <v>40000</v>
      </c>
      <c r="U65" s="16">
        <f>U66</f>
        <v>38000</v>
      </c>
      <c r="V65" s="18">
        <f>V66</f>
        <v>2000</v>
      </c>
      <c r="W65" s="99"/>
      <c r="X65" s="56"/>
      <c r="Y65" s="56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</row>
    <row r="66" spans="1:44" s="3" customFormat="1" ht="39.4" customHeight="1">
      <c r="A66" s="24"/>
      <c r="B66" s="106" t="s">
        <v>88</v>
      </c>
      <c r="C66" s="45">
        <f>SUM(C69:C75)</f>
        <v>3.3730000000000002</v>
      </c>
      <c r="D66" s="27"/>
      <c r="E66" s="49">
        <f>SUM(E69:E75)</f>
        <v>40000</v>
      </c>
      <c r="F66" s="49">
        <f>SUM(F69:F75)</f>
        <v>38000</v>
      </c>
      <c r="G66" s="49">
        <f>SUM(G69:G75)</f>
        <v>2000.0000000000034</v>
      </c>
      <c r="H66" s="81"/>
      <c r="I66" s="27"/>
      <c r="J66" s="27"/>
      <c r="K66" s="27"/>
      <c r="L66" s="27"/>
      <c r="M66" s="27"/>
      <c r="N66" s="27"/>
      <c r="O66" s="27"/>
      <c r="P66" s="27"/>
      <c r="Q66" s="137"/>
      <c r="R66" s="104">
        <v>1.6</v>
      </c>
      <c r="S66" s="68"/>
      <c r="T66" s="96">
        <v>40000</v>
      </c>
      <c r="U66" s="97">
        <f>T66*0.95</f>
        <v>38000</v>
      </c>
      <c r="V66" s="98">
        <f>T66-U66</f>
        <v>2000</v>
      </c>
      <c r="W66" s="79" t="s">
        <v>30</v>
      </c>
      <c r="X66" s="56"/>
      <c r="Y66" s="56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</row>
    <row r="67" spans="1:44" s="3" customFormat="1" ht="27.75" hidden="1" customHeight="1">
      <c r="A67" s="24"/>
      <c r="B67" s="105" t="s">
        <v>14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8"/>
      <c r="R67" s="17">
        <f>R68</f>
        <v>4.45</v>
      </c>
      <c r="S67" s="17"/>
      <c r="T67" s="16">
        <f>T68</f>
        <v>186480</v>
      </c>
      <c r="U67" s="22">
        <f>U68</f>
        <v>186480</v>
      </c>
      <c r="V67" s="15"/>
      <c r="W67" s="56" t="s">
        <v>21</v>
      </c>
      <c r="X67" s="56"/>
      <c r="Y67" s="56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</row>
    <row r="68" spans="1:44" s="3" customFormat="1" ht="27.75" hidden="1" customHeight="1">
      <c r="A68" s="24"/>
      <c r="B68" s="107"/>
      <c r="C68" s="13"/>
      <c r="D68" s="13"/>
      <c r="E68" s="160"/>
      <c r="F68" s="160"/>
      <c r="G68" s="160"/>
      <c r="H68" s="51"/>
      <c r="I68" s="16"/>
      <c r="J68" s="16"/>
      <c r="K68" s="16"/>
      <c r="L68" s="21"/>
      <c r="M68" s="51"/>
      <c r="N68" s="51"/>
      <c r="O68" s="14"/>
      <c r="P68" s="14"/>
      <c r="Q68" s="20"/>
      <c r="R68" s="111">
        <v>4.45</v>
      </c>
      <c r="S68" s="76"/>
      <c r="T68" s="16">
        <v>186480</v>
      </c>
      <c r="U68" s="22">
        <f>T68</f>
        <v>186480</v>
      </c>
      <c r="V68" s="15"/>
      <c r="W68" s="56"/>
      <c r="X68" s="56"/>
      <c r="Y68" s="56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</row>
    <row r="69" spans="1:44" s="3" customFormat="1" ht="27" customHeight="1">
      <c r="A69" s="24">
        <v>39</v>
      </c>
      <c r="B69" s="106" t="s">
        <v>83</v>
      </c>
      <c r="C69" s="45">
        <v>1.4330000000000001</v>
      </c>
      <c r="D69" s="13"/>
      <c r="E69" s="49">
        <v>19872.347539999999</v>
      </c>
      <c r="F69" s="96">
        <f>E69*0.95</f>
        <v>18878.730162999997</v>
      </c>
      <c r="G69" s="96">
        <f>E69-F69</f>
        <v>993.61737700000231</v>
      </c>
      <c r="H69" s="51"/>
      <c r="I69" s="16"/>
      <c r="J69" s="16"/>
      <c r="K69" s="16"/>
      <c r="L69" s="21"/>
      <c r="M69" s="51"/>
      <c r="N69" s="51"/>
      <c r="O69" s="14"/>
      <c r="P69" s="14"/>
      <c r="Q69" s="20"/>
      <c r="R69" s="111"/>
      <c r="S69" s="76"/>
      <c r="T69" s="16"/>
      <c r="U69" s="22"/>
      <c r="V69" s="15"/>
      <c r="W69" s="56"/>
      <c r="X69" s="56"/>
      <c r="Y69" s="56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44" s="3" customFormat="1" ht="26.25" customHeight="1">
      <c r="A70" s="24">
        <v>40</v>
      </c>
      <c r="B70" s="106" t="s">
        <v>84</v>
      </c>
      <c r="C70" s="45">
        <v>0.29599999999999999</v>
      </c>
      <c r="D70" s="13"/>
      <c r="E70" s="49">
        <v>4737.4022800000002</v>
      </c>
      <c r="F70" s="96">
        <f t="shared" ref="F70:F75" si="13">E70*0.95</f>
        <v>4500.532166</v>
      </c>
      <c r="G70" s="96">
        <f t="shared" ref="G70:G75" si="14">E70-F70</f>
        <v>236.87011400000029</v>
      </c>
      <c r="H70" s="51"/>
      <c r="I70" s="16"/>
      <c r="J70" s="16"/>
      <c r="K70" s="16"/>
      <c r="L70" s="21"/>
      <c r="M70" s="51"/>
      <c r="N70" s="51"/>
      <c r="O70" s="14"/>
      <c r="P70" s="14"/>
      <c r="Q70" s="20"/>
      <c r="R70" s="111"/>
      <c r="S70" s="76"/>
      <c r="T70" s="16"/>
      <c r="U70" s="22"/>
      <c r="V70" s="15"/>
      <c r="W70" s="56"/>
      <c r="X70" s="56"/>
      <c r="Y70" s="56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44" s="3" customFormat="1" ht="24" customHeight="1">
      <c r="A71" s="24">
        <v>41</v>
      </c>
      <c r="B71" s="106" t="s">
        <v>85</v>
      </c>
      <c r="C71" s="45">
        <v>0.46500000000000002</v>
      </c>
      <c r="D71" s="13"/>
      <c r="E71" s="49">
        <v>6105.0513799999999</v>
      </c>
      <c r="F71" s="96">
        <f t="shared" si="13"/>
        <v>5799.7988109999997</v>
      </c>
      <c r="G71" s="96">
        <f t="shared" si="14"/>
        <v>305.25256900000022</v>
      </c>
      <c r="H71" s="51"/>
      <c r="I71" s="16"/>
      <c r="J71" s="16"/>
      <c r="K71" s="16"/>
      <c r="L71" s="21"/>
      <c r="M71" s="51"/>
      <c r="N71" s="51"/>
      <c r="O71" s="14"/>
      <c r="P71" s="14"/>
      <c r="Q71" s="20"/>
      <c r="R71" s="111"/>
      <c r="S71" s="76"/>
      <c r="T71" s="16"/>
      <c r="U71" s="22"/>
      <c r="V71" s="15"/>
      <c r="W71" s="56"/>
      <c r="X71" s="56"/>
      <c r="Y71" s="56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44" s="3" customFormat="1" ht="27.2" customHeight="1">
      <c r="A72" s="24">
        <v>42</v>
      </c>
      <c r="B72" s="106" t="s">
        <v>86</v>
      </c>
      <c r="C72" s="45">
        <v>0.189</v>
      </c>
      <c r="D72" s="13"/>
      <c r="E72" s="49">
        <v>2362.5793199999998</v>
      </c>
      <c r="F72" s="96">
        <f t="shared" si="13"/>
        <v>2244.4503539999996</v>
      </c>
      <c r="G72" s="96">
        <f t="shared" si="14"/>
        <v>118.12896600000022</v>
      </c>
      <c r="H72" s="51"/>
      <c r="I72" s="16"/>
      <c r="J72" s="16"/>
      <c r="K72" s="16"/>
      <c r="L72" s="21"/>
      <c r="M72" s="51"/>
      <c r="N72" s="51"/>
      <c r="O72" s="14"/>
      <c r="P72" s="14"/>
      <c r="Q72" s="20"/>
      <c r="R72" s="111"/>
      <c r="S72" s="76"/>
      <c r="T72" s="16"/>
      <c r="U72" s="22"/>
      <c r="V72" s="15"/>
      <c r="W72" s="56"/>
      <c r="X72" s="56"/>
      <c r="Y72" s="56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spans="1:44" s="3" customFormat="1" ht="27.2" customHeight="1">
      <c r="A73" s="24">
        <v>43</v>
      </c>
      <c r="B73" s="106" t="s">
        <v>102</v>
      </c>
      <c r="C73" s="45">
        <v>0.24</v>
      </c>
      <c r="D73" s="13"/>
      <c r="E73" s="49">
        <v>2261.2043199999998</v>
      </c>
      <c r="F73" s="96">
        <f t="shared" si="13"/>
        <v>2148.1441039999995</v>
      </c>
      <c r="G73" s="96">
        <f t="shared" si="14"/>
        <v>113.06021600000031</v>
      </c>
      <c r="H73" s="51"/>
      <c r="I73" s="16"/>
      <c r="J73" s="16"/>
      <c r="K73" s="16"/>
      <c r="L73" s="21"/>
      <c r="M73" s="51"/>
      <c r="N73" s="51"/>
      <c r="O73" s="14"/>
      <c r="P73" s="14"/>
      <c r="Q73" s="20"/>
      <c r="R73" s="111"/>
      <c r="S73" s="76"/>
      <c r="T73" s="16"/>
      <c r="U73" s="22"/>
      <c r="V73" s="15"/>
      <c r="W73" s="56"/>
      <c r="X73" s="56"/>
      <c r="Y73" s="56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</row>
    <row r="74" spans="1:44" s="3" customFormat="1" ht="27.2" customHeight="1">
      <c r="A74" s="24">
        <v>44</v>
      </c>
      <c r="B74" s="106" t="s">
        <v>125</v>
      </c>
      <c r="C74" s="45">
        <v>0.6</v>
      </c>
      <c r="D74" s="13"/>
      <c r="E74" s="49">
        <v>3029.9195599999998</v>
      </c>
      <c r="F74" s="96">
        <f t="shared" si="13"/>
        <v>2878.4235819999999</v>
      </c>
      <c r="G74" s="96">
        <f t="shared" si="14"/>
        <v>151.49597799999992</v>
      </c>
      <c r="H74" s="51"/>
      <c r="I74" s="16"/>
      <c r="J74" s="16"/>
      <c r="K74" s="16"/>
      <c r="L74" s="21"/>
      <c r="M74" s="51"/>
      <c r="N74" s="51"/>
      <c r="O74" s="14"/>
      <c r="P74" s="14"/>
      <c r="Q74" s="20"/>
      <c r="R74" s="111"/>
      <c r="S74" s="76"/>
      <c r="T74" s="16"/>
      <c r="U74" s="22"/>
      <c r="V74" s="15"/>
      <c r="W74" s="56"/>
      <c r="X74" s="56"/>
      <c r="Y74" s="56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</row>
    <row r="75" spans="1:44" s="3" customFormat="1" ht="23.25" customHeight="1">
      <c r="A75" s="24">
        <v>45</v>
      </c>
      <c r="B75" s="106" t="s">
        <v>126</v>
      </c>
      <c r="C75" s="45">
        <v>0.15</v>
      </c>
      <c r="D75" s="13"/>
      <c r="E75" s="49">
        <v>1631.4956</v>
      </c>
      <c r="F75" s="96">
        <f t="shared" si="13"/>
        <v>1549.9208199999998</v>
      </c>
      <c r="G75" s="96">
        <f t="shared" si="14"/>
        <v>81.574780000000146</v>
      </c>
      <c r="H75" s="51"/>
      <c r="I75" s="16"/>
      <c r="J75" s="16"/>
      <c r="K75" s="16"/>
      <c r="L75" s="21"/>
      <c r="M75" s="51"/>
      <c r="N75" s="51"/>
      <c r="O75" s="14"/>
      <c r="P75" s="14"/>
      <c r="Q75" s="20"/>
      <c r="R75" s="111"/>
      <c r="S75" s="76"/>
      <c r="T75" s="16"/>
      <c r="U75" s="22"/>
      <c r="V75" s="15"/>
      <c r="W75" s="56"/>
      <c r="X75" s="56"/>
      <c r="Y75" s="56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</row>
    <row r="76" spans="1:44" s="4" customFormat="1" ht="27.2" customHeight="1">
      <c r="A76" s="29"/>
      <c r="B76" s="105" t="s">
        <v>15</v>
      </c>
      <c r="C76" s="58">
        <f>SUM(C77:C77)</f>
        <v>2.9460000000000002</v>
      </c>
      <c r="D76" s="28"/>
      <c r="E76" s="58">
        <f>SUM(E77)</f>
        <v>40000</v>
      </c>
      <c r="F76" s="58">
        <f>SUM(F77)</f>
        <v>38000</v>
      </c>
      <c r="G76" s="58">
        <f>SUM(G77)</f>
        <v>2000</v>
      </c>
      <c r="H76" s="58"/>
      <c r="I76" s="58"/>
      <c r="J76" s="58"/>
      <c r="K76" s="58"/>
      <c r="L76" s="58"/>
      <c r="M76" s="58"/>
      <c r="N76" s="58"/>
      <c r="O76" s="58"/>
      <c r="P76" s="58"/>
      <c r="Q76" s="141"/>
      <c r="R76" s="17" t="e">
        <f>#REF!</f>
        <v>#REF!</v>
      </c>
      <c r="S76" s="16"/>
      <c r="T76" s="16" t="e">
        <f>#REF!</f>
        <v>#REF!</v>
      </c>
      <c r="U76" s="16" t="e">
        <f>#REF!</f>
        <v>#REF!</v>
      </c>
      <c r="V76" s="18" t="e">
        <f>#REF!</f>
        <v>#REF!</v>
      </c>
      <c r="W76" s="56"/>
      <c r="X76" s="56"/>
      <c r="Y76" s="56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</row>
    <row r="77" spans="1:44" s="3" customFormat="1" ht="27.2" customHeight="1">
      <c r="A77" s="24"/>
      <c r="B77" s="106" t="s">
        <v>87</v>
      </c>
      <c r="C77" s="45">
        <f>C78+C79</f>
        <v>2.9460000000000002</v>
      </c>
      <c r="D77" s="13"/>
      <c r="E77" s="81">
        <v>40000</v>
      </c>
      <c r="F77" s="81">
        <v>38000</v>
      </c>
      <c r="G77" s="81">
        <v>2000</v>
      </c>
      <c r="H77" s="30"/>
      <c r="I77" s="30"/>
      <c r="J77" s="30"/>
      <c r="K77" s="30"/>
      <c r="L77" s="30"/>
      <c r="M77" s="30"/>
      <c r="N77" s="30"/>
      <c r="O77" s="30"/>
      <c r="P77" s="30"/>
      <c r="Q77" s="142"/>
      <c r="R77" s="77"/>
      <c r="S77" s="77"/>
      <c r="T77" s="30"/>
      <c r="U77" s="37"/>
      <c r="V77" s="15"/>
      <c r="W77" s="56"/>
      <c r="X77" s="56"/>
      <c r="Y77" s="56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</row>
    <row r="78" spans="1:44" s="3" customFormat="1" ht="37.5" customHeight="1">
      <c r="A78" s="24">
        <v>46</v>
      </c>
      <c r="B78" s="106" t="s">
        <v>107</v>
      </c>
      <c r="C78" s="45">
        <v>2.1480000000000001</v>
      </c>
      <c r="D78" s="13"/>
      <c r="E78" s="81">
        <v>25783.490890000001</v>
      </c>
      <c r="F78" s="81">
        <f t="shared" ref="F78:F79" si="15">E78*0.95</f>
        <v>24494.316345499999</v>
      </c>
      <c r="G78" s="81">
        <f t="shared" ref="G78:G79" si="16">E78-F78</f>
        <v>1289.1745445000015</v>
      </c>
      <c r="H78" s="30"/>
      <c r="I78" s="30"/>
      <c r="J78" s="30"/>
      <c r="K78" s="30"/>
      <c r="L78" s="30"/>
      <c r="M78" s="30"/>
      <c r="N78" s="30"/>
      <c r="O78" s="30"/>
      <c r="P78" s="30"/>
      <c r="Q78" s="142"/>
      <c r="R78" s="77"/>
      <c r="S78" s="77"/>
      <c r="T78" s="30"/>
      <c r="U78" s="37"/>
      <c r="V78" s="15"/>
      <c r="W78" s="56"/>
      <c r="X78" s="56"/>
      <c r="Y78" s="56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</row>
    <row r="79" spans="1:44" s="3" customFormat="1" ht="28.5" customHeight="1">
      <c r="A79" s="24">
        <v>47</v>
      </c>
      <c r="B79" s="106" t="s">
        <v>108</v>
      </c>
      <c r="C79" s="45">
        <v>0.79800000000000004</v>
      </c>
      <c r="D79" s="13"/>
      <c r="E79" s="81">
        <v>14216.509110000001</v>
      </c>
      <c r="F79" s="81">
        <f t="shared" si="15"/>
        <v>13505.683654500001</v>
      </c>
      <c r="G79" s="81">
        <f t="shared" si="16"/>
        <v>710.82545550000032</v>
      </c>
      <c r="H79" s="30"/>
      <c r="I79" s="30"/>
      <c r="J79" s="30"/>
      <c r="K79" s="30"/>
      <c r="L79" s="30"/>
      <c r="M79" s="30"/>
      <c r="N79" s="30"/>
      <c r="O79" s="30"/>
      <c r="P79" s="30"/>
      <c r="Q79" s="142"/>
      <c r="R79" s="77"/>
      <c r="S79" s="77"/>
      <c r="T79" s="30"/>
      <c r="U79" s="37"/>
      <c r="V79" s="15"/>
      <c r="W79" s="56"/>
      <c r="X79" s="56"/>
      <c r="Y79" s="56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1:44" s="4" customFormat="1" ht="24.75" customHeight="1">
      <c r="A80" s="29"/>
      <c r="B80" s="105" t="s">
        <v>16</v>
      </c>
      <c r="C80" s="16">
        <f>SUM(C82:C83)</f>
        <v>2.3570000000000002</v>
      </c>
      <c r="D80" s="14"/>
      <c r="E80" s="16">
        <f t="shared" ref="E80:G80" si="17">SUM(E82:E83)</f>
        <v>20382.599999999999</v>
      </c>
      <c r="F80" s="16">
        <f t="shared" si="17"/>
        <v>19363.5</v>
      </c>
      <c r="G80" s="16">
        <f t="shared" si="17"/>
        <v>1019.1000000000004</v>
      </c>
      <c r="H80" s="16"/>
      <c r="I80" s="16"/>
      <c r="J80" s="16"/>
      <c r="K80" s="16"/>
      <c r="L80" s="16"/>
      <c r="M80" s="16"/>
      <c r="N80" s="16"/>
      <c r="O80" s="16"/>
      <c r="P80" s="16"/>
      <c r="Q80" s="18"/>
      <c r="R80" s="17" t="e">
        <f>#REF!+#REF!</f>
        <v>#REF!</v>
      </c>
      <c r="S80" s="17"/>
      <c r="T80" s="16" t="e">
        <f>#REF!+#REF!</f>
        <v>#REF!</v>
      </c>
      <c r="U80" s="22" t="e">
        <f>#REF!+#REF!</f>
        <v>#REF!</v>
      </c>
      <c r="V80" s="18" t="e">
        <f>#REF!+#REF!</f>
        <v>#REF!</v>
      </c>
      <c r="W80" s="56"/>
      <c r="X80" s="56"/>
      <c r="Y80" s="56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spans="1:44" s="4" customFormat="1" ht="27" customHeight="1">
      <c r="A81" s="29"/>
      <c r="B81" s="106" t="s">
        <v>87</v>
      </c>
      <c r="C81" s="16"/>
      <c r="D81" s="14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8"/>
      <c r="R81" s="17"/>
      <c r="S81" s="17"/>
      <c r="T81" s="16"/>
      <c r="U81" s="22"/>
      <c r="V81" s="18"/>
      <c r="W81" s="56"/>
      <c r="X81" s="56"/>
      <c r="Y81" s="56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1:44" s="4" customFormat="1" ht="27" customHeight="1">
      <c r="A82" s="24">
        <v>48</v>
      </c>
      <c r="B82" s="106" t="s">
        <v>55</v>
      </c>
      <c r="C82" s="45">
        <v>1.76</v>
      </c>
      <c r="D82" s="14"/>
      <c r="E82" s="81">
        <v>7599.6</v>
      </c>
      <c r="F82" s="81">
        <v>7219.6</v>
      </c>
      <c r="G82" s="81">
        <v>380</v>
      </c>
      <c r="H82" s="16"/>
      <c r="I82" s="16"/>
      <c r="J82" s="16"/>
      <c r="K82" s="16"/>
      <c r="L82" s="16"/>
      <c r="M82" s="16"/>
      <c r="N82" s="16"/>
      <c r="O82" s="16"/>
      <c r="P82" s="16"/>
      <c r="Q82" s="18"/>
      <c r="R82" s="17"/>
      <c r="S82" s="17"/>
      <c r="T82" s="16"/>
      <c r="U82" s="22"/>
      <c r="V82" s="18"/>
      <c r="W82" s="56"/>
      <c r="X82" s="56"/>
      <c r="Y82" s="56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</row>
    <row r="83" spans="1:44" s="3" customFormat="1" ht="27" customHeight="1">
      <c r="A83" s="24">
        <v>49</v>
      </c>
      <c r="B83" s="106" t="s">
        <v>56</v>
      </c>
      <c r="C83" s="45">
        <v>0.59699999999999998</v>
      </c>
      <c r="D83" s="13"/>
      <c r="E83" s="81">
        <v>12783</v>
      </c>
      <c r="F83" s="81">
        <v>12143.9</v>
      </c>
      <c r="G83" s="81">
        <v>639.10000000000036</v>
      </c>
      <c r="H83" s="21"/>
      <c r="I83" s="21"/>
      <c r="J83" s="21"/>
      <c r="K83" s="21"/>
      <c r="L83" s="21"/>
      <c r="M83" s="21"/>
      <c r="N83" s="21"/>
      <c r="O83" s="21"/>
      <c r="P83" s="21"/>
      <c r="Q83" s="139"/>
      <c r="R83" s="73"/>
      <c r="S83" s="73"/>
      <c r="T83" s="92"/>
      <c r="U83" s="93"/>
      <c r="V83" s="91"/>
      <c r="W83" s="56"/>
      <c r="X83" s="56"/>
      <c r="Y83" s="56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</row>
    <row r="84" spans="1:44" s="4" customFormat="1" ht="29.25" customHeight="1">
      <c r="A84" s="29"/>
      <c r="B84" s="105" t="s">
        <v>17</v>
      </c>
      <c r="C84" s="16">
        <f>C85</f>
        <v>4.0289999999999999</v>
      </c>
      <c r="D84" s="14"/>
      <c r="E84" s="16">
        <f t="shared" ref="E84:G84" si="18">E85</f>
        <v>40000</v>
      </c>
      <c r="F84" s="16">
        <f t="shared" si="18"/>
        <v>38000</v>
      </c>
      <c r="G84" s="16">
        <f t="shared" si="18"/>
        <v>2000</v>
      </c>
      <c r="H84" s="26"/>
      <c r="I84" s="65"/>
      <c r="J84" s="65"/>
      <c r="K84" s="65"/>
      <c r="L84" s="65"/>
      <c r="M84" s="65"/>
      <c r="N84" s="65"/>
      <c r="O84" s="65"/>
      <c r="P84" s="65"/>
      <c r="Q84" s="143"/>
      <c r="R84" s="17" t="e">
        <f>#REF!</f>
        <v>#REF!</v>
      </c>
      <c r="S84" s="16"/>
      <c r="T84" s="16" t="e">
        <f>#REF!</f>
        <v>#REF!</v>
      </c>
      <c r="U84" s="16" t="e">
        <f>#REF!</f>
        <v>#REF!</v>
      </c>
      <c r="V84" s="18" t="e">
        <f>#REF!</f>
        <v>#REF!</v>
      </c>
      <c r="W84" s="95"/>
      <c r="X84" s="56"/>
      <c r="Y84" s="56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</row>
    <row r="85" spans="1:44" ht="27" customHeight="1">
      <c r="A85" s="24"/>
      <c r="B85" s="110" t="s">
        <v>87</v>
      </c>
      <c r="C85" s="45">
        <f>SUM(C86:C89)</f>
        <v>4.0289999999999999</v>
      </c>
      <c r="D85" s="13"/>
      <c r="E85" s="81">
        <v>40000</v>
      </c>
      <c r="F85" s="81">
        <v>38000</v>
      </c>
      <c r="G85" s="81">
        <v>2000</v>
      </c>
      <c r="H85" s="21"/>
      <c r="I85" s="21"/>
      <c r="J85" s="21"/>
      <c r="K85" s="21"/>
      <c r="L85" s="21"/>
      <c r="M85" s="21"/>
      <c r="N85" s="21"/>
      <c r="O85" s="21"/>
      <c r="P85" s="21"/>
      <c r="Q85" s="139"/>
      <c r="R85" s="62"/>
      <c r="S85" s="21"/>
      <c r="T85" s="21"/>
      <c r="U85" s="35"/>
      <c r="V85" s="15"/>
      <c r="W85" s="94"/>
      <c r="X85" s="56"/>
      <c r="Y85" s="56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4" ht="24.75" customHeight="1">
      <c r="A86" s="24">
        <v>50</v>
      </c>
      <c r="B86" s="110" t="s">
        <v>89</v>
      </c>
      <c r="C86" s="45">
        <v>0.53</v>
      </c>
      <c r="D86" s="13"/>
      <c r="E86" s="128">
        <v>4722.0600000000004</v>
      </c>
      <c r="F86" s="81">
        <f t="shared" ref="F86:F89" si="19">E86*0.95</f>
        <v>4485.9570000000003</v>
      </c>
      <c r="G86" s="81">
        <f t="shared" ref="G86:G89" si="20">E86-F86</f>
        <v>236.10300000000007</v>
      </c>
      <c r="H86" s="21"/>
      <c r="I86" s="21"/>
      <c r="J86" s="21"/>
      <c r="K86" s="21"/>
      <c r="L86" s="21"/>
      <c r="M86" s="21"/>
      <c r="N86" s="21"/>
      <c r="O86" s="21"/>
      <c r="P86" s="21"/>
      <c r="Q86" s="139"/>
      <c r="R86" s="62"/>
      <c r="S86" s="73"/>
      <c r="T86" s="21"/>
      <c r="U86" s="35"/>
      <c r="V86" s="15"/>
      <c r="W86" s="94"/>
      <c r="X86" s="56"/>
      <c r="Y86" s="56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4" ht="24.75" customHeight="1">
      <c r="A87" s="24">
        <v>51</v>
      </c>
      <c r="B87" s="110" t="s">
        <v>90</v>
      </c>
      <c r="C87" s="45">
        <v>1.085</v>
      </c>
      <c r="D87" s="13"/>
      <c r="E87" s="128">
        <v>12138.918</v>
      </c>
      <c r="F87" s="81">
        <f t="shared" si="19"/>
        <v>11531.972099999999</v>
      </c>
      <c r="G87" s="81">
        <f t="shared" si="20"/>
        <v>606.94590000000062</v>
      </c>
      <c r="H87" s="21"/>
      <c r="I87" s="21"/>
      <c r="J87" s="21"/>
      <c r="K87" s="21"/>
      <c r="L87" s="21"/>
      <c r="M87" s="21"/>
      <c r="N87" s="21"/>
      <c r="O87" s="21"/>
      <c r="P87" s="21"/>
      <c r="Q87" s="139"/>
      <c r="R87" s="62"/>
      <c r="S87" s="73"/>
      <c r="T87" s="21"/>
      <c r="U87" s="35"/>
      <c r="V87" s="15"/>
      <c r="W87" s="94"/>
      <c r="X87" s="56"/>
      <c r="Y87" s="56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4" ht="27.95" customHeight="1">
      <c r="A88" s="24">
        <v>52</v>
      </c>
      <c r="B88" s="110" t="s">
        <v>94</v>
      </c>
      <c r="C88" s="45">
        <v>0.95399999999999996</v>
      </c>
      <c r="D88" s="13"/>
      <c r="E88" s="128">
        <v>8785.0959999999995</v>
      </c>
      <c r="F88" s="81">
        <f t="shared" si="19"/>
        <v>8345.8411999999989</v>
      </c>
      <c r="G88" s="81">
        <f t="shared" si="20"/>
        <v>439.25480000000061</v>
      </c>
      <c r="H88" s="21"/>
      <c r="I88" s="21"/>
      <c r="J88" s="21"/>
      <c r="K88" s="21"/>
      <c r="L88" s="21"/>
      <c r="M88" s="21"/>
      <c r="N88" s="21"/>
      <c r="O88" s="21"/>
      <c r="P88" s="21"/>
      <c r="Q88" s="139"/>
      <c r="R88" s="62"/>
      <c r="S88" s="73"/>
      <c r="T88" s="21"/>
      <c r="U88" s="35"/>
      <c r="V88" s="15"/>
      <c r="W88" s="94"/>
      <c r="X88" s="56"/>
      <c r="Y88" s="56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4" ht="25.5" customHeight="1">
      <c r="A89" s="24">
        <v>53</v>
      </c>
      <c r="B89" s="110" t="s">
        <v>95</v>
      </c>
      <c r="C89" s="45">
        <v>1.46</v>
      </c>
      <c r="D89" s="13"/>
      <c r="E89" s="128">
        <v>14353.925999999999</v>
      </c>
      <c r="F89" s="81">
        <f t="shared" si="19"/>
        <v>13636.229699999998</v>
      </c>
      <c r="G89" s="81">
        <f t="shared" si="20"/>
        <v>717.69630000000143</v>
      </c>
      <c r="H89" s="21"/>
      <c r="I89" s="21"/>
      <c r="J89" s="21"/>
      <c r="K89" s="21"/>
      <c r="L89" s="21"/>
      <c r="M89" s="21"/>
      <c r="N89" s="21"/>
      <c r="O89" s="21"/>
      <c r="P89" s="21"/>
      <c r="Q89" s="139"/>
      <c r="R89" s="62"/>
      <c r="S89" s="73"/>
      <c r="T89" s="21"/>
      <c r="U89" s="35"/>
      <c r="V89" s="15"/>
      <c r="W89" s="94"/>
      <c r="X89" s="56"/>
      <c r="Y89" s="56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4" ht="30" customHeight="1">
      <c r="A90" s="24"/>
      <c r="B90" s="105" t="s">
        <v>18</v>
      </c>
      <c r="C90" s="16">
        <f>C91</f>
        <v>0.94199999999999995</v>
      </c>
      <c r="D90" s="14"/>
      <c r="E90" s="16">
        <f t="shared" ref="E90:G90" si="21">E91</f>
        <v>11806</v>
      </c>
      <c r="F90" s="16">
        <f t="shared" si="21"/>
        <v>11215.7</v>
      </c>
      <c r="G90" s="16">
        <f t="shared" si="21"/>
        <v>590.29999999999927</v>
      </c>
      <c r="H90" s="26"/>
      <c r="I90" s="65"/>
      <c r="J90" s="65"/>
      <c r="K90" s="65"/>
      <c r="L90" s="65"/>
      <c r="M90" s="65"/>
      <c r="N90" s="65"/>
      <c r="O90" s="65"/>
      <c r="P90" s="65"/>
      <c r="Q90" s="143"/>
      <c r="R90" s="17" t="e">
        <f>#REF!</f>
        <v>#REF!</v>
      </c>
      <c r="S90" s="17"/>
      <c r="T90" s="16" t="e">
        <f>#REF!</f>
        <v>#REF!</v>
      </c>
      <c r="U90" s="22" t="e">
        <f>#REF!</f>
        <v>#REF!</v>
      </c>
      <c r="V90" s="18" t="e">
        <f>#REF!</f>
        <v>#REF!</v>
      </c>
      <c r="W90" s="94"/>
      <c r="X90" s="56"/>
      <c r="Y90" s="56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4" ht="27.75" customHeight="1">
      <c r="A91" s="24">
        <v>54</v>
      </c>
      <c r="B91" s="106" t="s">
        <v>57</v>
      </c>
      <c r="C91" s="45">
        <v>0.94199999999999995</v>
      </c>
      <c r="D91" s="25"/>
      <c r="E91" s="49">
        <v>11806</v>
      </c>
      <c r="F91" s="49">
        <v>11215.7</v>
      </c>
      <c r="G91" s="49">
        <f>E91-F91</f>
        <v>590.29999999999927</v>
      </c>
      <c r="H91" s="40"/>
      <c r="I91" s="67"/>
      <c r="J91" s="67"/>
      <c r="K91" s="67"/>
      <c r="L91" s="67"/>
      <c r="M91" s="67"/>
      <c r="N91" s="67"/>
      <c r="O91" s="67"/>
      <c r="P91" s="67"/>
      <c r="Q91" s="144"/>
      <c r="R91" s="41"/>
      <c r="S91" s="41"/>
      <c r="T91" s="23"/>
      <c r="U91" s="36"/>
      <c r="V91" s="15"/>
      <c r="W91" s="56"/>
      <c r="X91" s="56"/>
      <c r="Y91" s="56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4" ht="27" customHeight="1">
      <c r="A92" s="24"/>
      <c r="B92" s="105" t="s">
        <v>37</v>
      </c>
      <c r="C92" s="16">
        <f>C93</f>
        <v>2.2930000000000001</v>
      </c>
      <c r="D92" s="14"/>
      <c r="E92" s="16">
        <f t="shared" ref="E92:G92" si="22">E93</f>
        <v>40000</v>
      </c>
      <c r="F92" s="16">
        <f t="shared" si="22"/>
        <v>38000</v>
      </c>
      <c r="G92" s="16">
        <f t="shared" si="22"/>
        <v>2000.0000000000018</v>
      </c>
      <c r="H92" s="16"/>
      <c r="I92" s="16"/>
      <c r="J92" s="16"/>
      <c r="K92" s="16"/>
      <c r="L92" s="23"/>
      <c r="M92" s="23"/>
      <c r="N92" s="23"/>
      <c r="O92" s="23"/>
      <c r="P92" s="23"/>
      <c r="Q92" s="145"/>
      <c r="R92" s="53">
        <f>R93</f>
        <v>1.6</v>
      </c>
      <c r="S92" s="16"/>
      <c r="T92" s="16">
        <f>T93</f>
        <v>40000</v>
      </c>
      <c r="U92" s="22">
        <f>U93</f>
        <v>38000</v>
      </c>
      <c r="V92" s="18">
        <f>V93</f>
        <v>2000</v>
      </c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4" ht="27" customHeight="1">
      <c r="A93" s="24"/>
      <c r="B93" s="106" t="s">
        <v>54</v>
      </c>
      <c r="C93" s="45">
        <f>SUM(C94:C96)</f>
        <v>2.2930000000000001</v>
      </c>
      <c r="D93" s="49"/>
      <c r="E93" s="49">
        <f>SUM(E94:E96)</f>
        <v>40000</v>
      </c>
      <c r="F93" s="49">
        <f>SUM(F94:F96)</f>
        <v>38000</v>
      </c>
      <c r="G93" s="49">
        <f>SUM(G94:G96)</f>
        <v>2000.0000000000018</v>
      </c>
      <c r="H93" s="16"/>
      <c r="I93" s="16"/>
      <c r="J93" s="16"/>
      <c r="K93" s="16"/>
      <c r="L93" s="23"/>
      <c r="M93" s="23"/>
      <c r="N93" s="23"/>
      <c r="O93" s="23"/>
      <c r="P93" s="23"/>
      <c r="Q93" s="145"/>
      <c r="R93" s="104">
        <v>1.6</v>
      </c>
      <c r="S93" s="68"/>
      <c r="T93" s="96">
        <v>40000</v>
      </c>
      <c r="U93" s="97">
        <f>T93*0.95</f>
        <v>38000</v>
      </c>
      <c r="V93" s="98">
        <f>T93-U93</f>
        <v>2000</v>
      </c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4" ht="27.95" customHeight="1">
      <c r="A94" s="24">
        <v>55</v>
      </c>
      <c r="B94" s="106" t="s">
        <v>105</v>
      </c>
      <c r="C94" s="45">
        <v>0.871</v>
      </c>
      <c r="D94" s="49"/>
      <c r="E94" s="49">
        <v>17566.088390000001</v>
      </c>
      <c r="F94" s="49">
        <f t="shared" ref="F94:F96" si="23">E94*0.95</f>
        <v>16687.783970500001</v>
      </c>
      <c r="G94" s="49">
        <f t="shared" ref="G94:G96" si="24">E94-F94</f>
        <v>878.30441950000022</v>
      </c>
      <c r="H94" s="16"/>
      <c r="I94" s="16"/>
      <c r="J94" s="16"/>
      <c r="K94" s="16"/>
      <c r="L94" s="23"/>
      <c r="M94" s="23"/>
      <c r="N94" s="23"/>
      <c r="O94" s="23"/>
      <c r="P94" s="23"/>
      <c r="Q94" s="145"/>
      <c r="R94" s="104"/>
      <c r="S94" s="68"/>
      <c r="T94" s="96"/>
      <c r="U94" s="97"/>
      <c r="V94" s="98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spans="1:44" ht="27.95" customHeight="1">
      <c r="A95" s="24">
        <v>56</v>
      </c>
      <c r="B95" s="106" t="s">
        <v>104</v>
      </c>
      <c r="C95" s="45">
        <v>0.78800000000000003</v>
      </c>
      <c r="D95" s="49"/>
      <c r="E95" s="49">
        <v>16488.924930000001</v>
      </c>
      <c r="F95" s="49">
        <f t="shared" si="23"/>
        <v>15664.4786835</v>
      </c>
      <c r="G95" s="49">
        <f t="shared" si="24"/>
        <v>824.44624650000151</v>
      </c>
      <c r="H95" s="16"/>
      <c r="I95" s="16"/>
      <c r="J95" s="16"/>
      <c r="K95" s="16"/>
      <c r="L95" s="23"/>
      <c r="M95" s="23"/>
      <c r="N95" s="23"/>
      <c r="O95" s="23"/>
      <c r="P95" s="23"/>
      <c r="Q95" s="145"/>
      <c r="R95" s="104"/>
      <c r="S95" s="68"/>
      <c r="T95" s="96"/>
      <c r="U95" s="97"/>
      <c r="V95" s="98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  <row r="96" spans="1:44" ht="29.25" customHeight="1">
      <c r="A96" s="24">
        <v>57</v>
      </c>
      <c r="B96" s="106" t="s">
        <v>134</v>
      </c>
      <c r="C96" s="45">
        <v>0.63400000000000001</v>
      </c>
      <c r="D96" s="49"/>
      <c r="E96" s="49">
        <v>5944.98668</v>
      </c>
      <c r="F96" s="49">
        <f t="shared" si="23"/>
        <v>5647.7373459999999</v>
      </c>
      <c r="G96" s="49">
        <f t="shared" si="24"/>
        <v>297.24933400000009</v>
      </c>
      <c r="H96" s="16"/>
      <c r="I96" s="16"/>
      <c r="J96" s="16"/>
      <c r="K96" s="16"/>
      <c r="L96" s="23"/>
      <c r="M96" s="23"/>
      <c r="N96" s="23"/>
      <c r="O96" s="23"/>
      <c r="P96" s="23"/>
      <c r="Q96" s="145"/>
      <c r="R96" s="104"/>
      <c r="S96" s="68"/>
      <c r="T96" s="96"/>
      <c r="U96" s="97"/>
      <c r="V96" s="98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</row>
    <row r="97" spans="1:42" ht="36" customHeight="1">
      <c r="A97" s="24"/>
      <c r="B97" s="105" t="s">
        <v>19</v>
      </c>
      <c r="C97" s="16">
        <f>C98</f>
        <v>1.6</v>
      </c>
      <c r="D97" s="16">
        <f>D99</f>
        <v>278.7</v>
      </c>
      <c r="E97" s="16">
        <f>SUM(E98:E99)</f>
        <v>83000</v>
      </c>
      <c r="F97" s="16">
        <f t="shared" ref="F97:G97" si="25">SUM(F98:F99)</f>
        <v>78020</v>
      </c>
      <c r="G97" s="16">
        <f t="shared" si="25"/>
        <v>4980</v>
      </c>
      <c r="H97" s="26"/>
      <c r="I97" s="65"/>
      <c r="J97" s="65"/>
      <c r="K97" s="65"/>
      <c r="L97" s="65"/>
      <c r="M97" s="65"/>
      <c r="N97" s="65"/>
      <c r="O97" s="65"/>
      <c r="P97" s="65"/>
      <c r="Q97" s="143"/>
      <c r="R97" s="17">
        <f>R98</f>
        <v>1.6</v>
      </c>
      <c r="S97" s="16" t="e">
        <f>#REF!</f>
        <v>#REF!</v>
      </c>
      <c r="T97" s="16" t="e">
        <f>T98+#REF!</f>
        <v>#REF!</v>
      </c>
      <c r="U97" s="16" t="e">
        <f>U98+#REF!</f>
        <v>#REF!</v>
      </c>
      <c r="V97" s="18" t="e">
        <f>V98+#REF!</f>
        <v>#REF!</v>
      </c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</row>
    <row r="98" spans="1:42" ht="24.75" customHeight="1">
      <c r="A98" s="24">
        <v>58</v>
      </c>
      <c r="B98" s="106" t="s">
        <v>109</v>
      </c>
      <c r="C98" s="45">
        <v>1.6</v>
      </c>
      <c r="D98" s="13"/>
      <c r="E98" s="49">
        <v>40000</v>
      </c>
      <c r="F98" s="49">
        <v>37600</v>
      </c>
      <c r="G98" s="49">
        <v>2400</v>
      </c>
      <c r="H98" s="21"/>
      <c r="I98" s="21"/>
      <c r="J98" s="21"/>
      <c r="K98" s="21"/>
      <c r="L98" s="21"/>
      <c r="M98" s="21"/>
      <c r="N98" s="21"/>
      <c r="O98" s="21"/>
      <c r="P98" s="21"/>
      <c r="Q98" s="139"/>
      <c r="R98" s="104">
        <v>1.6</v>
      </c>
      <c r="S98" s="73"/>
      <c r="T98" s="49">
        <v>40000</v>
      </c>
      <c r="U98" s="86">
        <f>T98*0.94</f>
        <v>37600</v>
      </c>
      <c r="V98" s="63">
        <f>T98-U98</f>
        <v>2400</v>
      </c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</row>
    <row r="99" spans="1:42" ht="42" customHeight="1">
      <c r="A99" s="24">
        <v>59</v>
      </c>
      <c r="B99" s="106" t="s">
        <v>127</v>
      </c>
      <c r="C99" s="13"/>
      <c r="D99" s="49">
        <v>278.7</v>
      </c>
      <c r="E99" s="49">
        <v>43000</v>
      </c>
      <c r="F99" s="49">
        <v>40420</v>
      </c>
      <c r="G99" s="49">
        <v>2580</v>
      </c>
      <c r="H99" s="21"/>
      <c r="I99" s="21"/>
      <c r="J99" s="21"/>
      <c r="K99" s="21"/>
      <c r="L99" s="21"/>
      <c r="M99" s="21"/>
      <c r="N99" s="21"/>
      <c r="O99" s="21"/>
      <c r="P99" s="21"/>
      <c r="Q99" s="139"/>
      <c r="R99" s="104"/>
      <c r="S99" s="73"/>
      <c r="T99" s="49"/>
      <c r="U99" s="86"/>
      <c r="V99" s="63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</row>
    <row r="100" spans="1:42" ht="27.75" customHeight="1">
      <c r="A100" s="24"/>
      <c r="B100" s="105" t="s">
        <v>20</v>
      </c>
      <c r="C100" s="16">
        <f>SUM(C101:C110)</f>
        <v>7.1550000000000002</v>
      </c>
      <c r="D100" s="16"/>
      <c r="E100" s="16">
        <f>SUM(E101:E110)</f>
        <v>77600</v>
      </c>
      <c r="F100" s="16">
        <f t="shared" ref="F100:G100" si="26">SUM(F101:F110)</f>
        <v>73720</v>
      </c>
      <c r="G100" s="16">
        <f t="shared" si="26"/>
        <v>3880.0000000000032</v>
      </c>
      <c r="H100" s="26"/>
      <c r="I100" s="65"/>
      <c r="J100" s="65"/>
      <c r="K100" s="65"/>
      <c r="L100" s="65"/>
      <c r="M100" s="65"/>
      <c r="N100" s="65"/>
      <c r="O100" s="65"/>
      <c r="P100" s="65"/>
      <c r="Q100" s="143"/>
      <c r="R100" s="17">
        <f>R101</f>
        <v>2.9140000000000001</v>
      </c>
      <c r="S100" s="16"/>
      <c r="T100" s="16">
        <f>T101</f>
        <v>40000</v>
      </c>
      <c r="U100" s="16">
        <f>U101</f>
        <v>38000</v>
      </c>
      <c r="V100" s="18">
        <f>V101</f>
        <v>2000</v>
      </c>
      <c r="W100" s="70" t="e">
        <f>O100+#REF!</f>
        <v>#REF!</v>
      </c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</row>
    <row r="101" spans="1:42" ht="27" customHeight="1">
      <c r="A101" s="24">
        <v>60</v>
      </c>
      <c r="B101" s="106" t="s">
        <v>146</v>
      </c>
      <c r="C101" s="45">
        <v>0.79</v>
      </c>
      <c r="D101" s="25"/>
      <c r="E101" s="49">
        <v>13951</v>
      </c>
      <c r="F101" s="49">
        <f>E101*0.95-0.05</f>
        <v>13253.4</v>
      </c>
      <c r="G101" s="49">
        <f>E101-F101</f>
        <v>697.60000000000036</v>
      </c>
      <c r="H101" s="50"/>
      <c r="I101" s="66"/>
      <c r="J101" s="66"/>
      <c r="K101" s="66"/>
      <c r="L101" s="66"/>
      <c r="M101" s="66"/>
      <c r="N101" s="66"/>
      <c r="O101" s="66"/>
      <c r="P101" s="66"/>
      <c r="Q101" s="146"/>
      <c r="R101" s="104">
        <f>1.439+1.475</f>
        <v>2.9140000000000001</v>
      </c>
      <c r="S101" s="41"/>
      <c r="T101" s="49">
        <v>40000</v>
      </c>
      <c r="U101" s="86">
        <f>T101*0.95</f>
        <v>38000</v>
      </c>
      <c r="V101" s="63">
        <f>T101-U101</f>
        <v>2000</v>
      </c>
      <c r="W101" s="70" t="e">
        <f>P100+#REF!</f>
        <v>#REF!</v>
      </c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</row>
    <row r="102" spans="1:42" ht="27" customHeight="1">
      <c r="A102" s="24">
        <v>61</v>
      </c>
      <c r="B102" s="106" t="s">
        <v>145</v>
      </c>
      <c r="C102" s="45">
        <v>0.28999999999999998</v>
      </c>
      <c r="D102" s="25"/>
      <c r="E102" s="49">
        <v>10331</v>
      </c>
      <c r="F102" s="49">
        <f>E102*0.95+0.05</f>
        <v>9814.4999999999982</v>
      </c>
      <c r="G102" s="49">
        <f t="shared" ref="G102:G110" si="27">E102-F102</f>
        <v>516.50000000000182</v>
      </c>
      <c r="H102" s="50"/>
      <c r="I102" s="66"/>
      <c r="J102" s="66"/>
      <c r="K102" s="66"/>
      <c r="L102" s="66"/>
      <c r="M102" s="66"/>
      <c r="N102" s="66"/>
      <c r="O102" s="66"/>
      <c r="P102" s="66"/>
      <c r="Q102" s="146"/>
      <c r="R102" s="104"/>
      <c r="S102" s="41"/>
      <c r="T102" s="49"/>
      <c r="U102" s="86"/>
      <c r="V102" s="63"/>
      <c r="W102" s="70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spans="1:42" ht="27" customHeight="1">
      <c r="A103" s="24">
        <v>62</v>
      </c>
      <c r="B103" s="106" t="s">
        <v>76</v>
      </c>
      <c r="C103" s="45">
        <v>0.51500000000000001</v>
      </c>
      <c r="D103" s="25"/>
      <c r="E103" s="49">
        <v>5928.4</v>
      </c>
      <c r="F103" s="49">
        <f>E103*0.95+0.02</f>
        <v>5632</v>
      </c>
      <c r="G103" s="49">
        <f t="shared" si="27"/>
        <v>296.39999999999964</v>
      </c>
      <c r="H103" s="50"/>
      <c r="I103" s="66"/>
      <c r="J103" s="66"/>
      <c r="K103" s="66"/>
      <c r="L103" s="66"/>
      <c r="M103" s="66"/>
      <c r="N103" s="66"/>
      <c r="O103" s="66"/>
      <c r="P103" s="66"/>
      <c r="Q103" s="146"/>
      <c r="R103" s="104"/>
      <c r="S103" s="41"/>
      <c r="T103" s="49"/>
      <c r="U103" s="86"/>
      <c r="V103" s="63"/>
      <c r="W103" s="70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spans="1:42" ht="27" customHeight="1">
      <c r="A104" s="24">
        <v>63</v>
      </c>
      <c r="B104" s="106" t="s">
        <v>130</v>
      </c>
      <c r="C104" s="45">
        <v>1.66</v>
      </c>
      <c r="D104" s="25"/>
      <c r="E104" s="49">
        <v>7546.4</v>
      </c>
      <c r="F104" s="49">
        <f>E104*0.95+0.02</f>
        <v>7169.0999999999995</v>
      </c>
      <c r="G104" s="49">
        <f t="shared" si="27"/>
        <v>377.30000000000018</v>
      </c>
      <c r="H104" s="50"/>
      <c r="I104" s="66"/>
      <c r="J104" s="66"/>
      <c r="K104" s="66"/>
      <c r="L104" s="66"/>
      <c r="M104" s="66"/>
      <c r="N104" s="66"/>
      <c r="O104" s="66"/>
      <c r="P104" s="66"/>
      <c r="Q104" s="146"/>
      <c r="R104" s="104"/>
      <c r="S104" s="41"/>
      <c r="T104" s="49"/>
      <c r="U104" s="86"/>
      <c r="V104" s="63"/>
      <c r="W104" s="70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  <row r="105" spans="1:42" ht="27" customHeight="1">
      <c r="A105" s="24">
        <v>64</v>
      </c>
      <c r="B105" s="106" t="s">
        <v>67</v>
      </c>
      <c r="C105" s="45">
        <v>0.59</v>
      </c>
      <c r="D105" s="25"/>
      <c r="E105" s="49">
        <v>5804.4</v>
      </c>
      <c r="F105" s="49">
        <f>E105*0.95+0.02</f>
        <v>5514.2</v>
      </c>
      <c r="G105" s="49">
        <f t="shared" si="27"/>
        <v>290.19999999999982</v>
      </c>
      <c r="H105" s="50"/>
      <c r="I105" s="66"/>
      <c r="J105" s="66"/>
      <c r="K105" s="66"/>
      <c r="L105" s="66"/>
      <c r="M105" s="66"/>
      <c r="N105" s="66"/>
      <c r="O105" s="66"/>
      <c r="P105" s="66"/>
      <c r="Q105" s="146"/>
      <c r="R105" s="104"/>
      <c r="S105" s="41"/>
      <c r="T105" s="49"/>
      <c r="U105" s="86"/>
      <c r="V105" s="63"/>
      <c r="W105" s="70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</row>
    <row r="106" spans="1:42" ht="27" customHeight="1">
      <c r="A106" s="24">
        <v>65</v>
      </c>
      <c r="B106" s="106" t="s">
        <v>68</v>
      </c>
      <c r="C106" s="45">
        <v>1.95</v>
      </c>
      <c r="D106" s="25"/>
      <c r="E106" s="49">
        <v>17428.400000000001</v>
      </c>
      <c r="F106" s="49">
        <f>E106*0.95+0.02</f>
        <v>16557</v>
      </c>
      <c r="G106" s="49">
        <f t="shared" si="27"/>
        <v>871.40000000000146</v>
      </c>
      <c r="H106" s="50"/>
      <c r="I106" s="66"/>
      <c r="J106" s="66"/>
      <c r="K106" s="66"/>
      <c r="L106" s="66"/>
      <c r="M106" s="66"/>
      <c r="N106" s="66"/>
      <c r="O106" s="66"/>
      <c r="P106" s="66"/>
      <c r="Q106" s="146"/>
      <c r="R106" s="104"/>
      <c r="S106" s="41"/>
      <c r="T106" s="49"/>
      <c r="U106" s="86"/>
      <c r="V106" s="63"/>
      <c r="W106" s="70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</row>
    <row r="107" spans="1:42" ht="27" customHeight="1">
      <c r="A107" s="24">
        <v>66</v>
      </c>
      <c r="B107" s="106" t="s">
        <v>69</v>
      </c>
      <c r="C107" s="45">
        <v>0.26</v>
      </c>
      <c r="D107" s="25"/>
      <c r="E107" s="49">
        <v>2361.6</v>
      </c>
      <c r="F107" s="49">
        <f>E107*0.95-0.02</f>
        <v>2243.5</v>
      </c>
      <c r="G107" s="49">
        <f t="shared" si="27"/>
        <v>118.09999999999991</v>
      </c>
      <c r="H107" s="50"/>
      <c r="I107" s="66"/>
      <c r="J107" s="66"/>
      <c r="K107" s="66"/>
      <c r="L107" s="66"/>
      <c r="M107" s="66"/>
      <c r="N107" s="66"/>
      <c r="O107" s="66"/>
      <c r="P107" s="66"/>
      <c r="Q107" s="146"/>
      <c r="R107" s="104"/>
      <c r="S107" s="41"/>
      <c r="T107" s="49"/>
      <c r="U107" s="86"/>
      <c r="V107" s="63"/>
      <c r="W107" s="70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</row>
    <row r="108" spans="1:42" ht="27" customHeight="1">
      <c r="A108" s="24">
        <v>67</v>
      </c>
      <c r="B108" s="106" t="s">
        <v>114</v>
      </c>
      <c r="C108" s="45">
        <v>7.0000000000000007E-2</v>
      </c>
      <c r="D108" s="25"/>
      <c r="E108" s="49">
        <v>769.2</v>
      </c>
      <c r="F108" s="49">
        <f>E108*0.95-0.04</f>
        <v>730.7</v>
      </c>
      <c r="G108" s="49">
        <f t="shared" si="27"/>
        <v>38.5</v>
      </c>
      <c r="H108" s="50"/>
      <c r="I108" s="66"/>
      <c r="J108" s="66"/>
      <c r="K108" s="66"/>
      <c r="L108" s="66"/>
      <c r="M108" s="66"/>
      <c r="N108" s="66"/>
      <c r="O108" s="66"/>
      <c r="P108" s="66"/>
      <c r="Q108" s="146"/>
      <c r="R108" s="104"/>
      <c r="S108" s="41"/>
      <c r="T108" s="49"/>
      <c r="U108" s="86"/>
      <c r="V108" s="63"/>
      <c r="W108" s="70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1:42" ht="27" customHeight="1">
      <c r="A109" s="24">
        <v>68</v>
      </c>
      <c r="B109" s="106" t="s">
        <v>70</v>
      </c>
      <c r="C109" s="45">
        <v>0.4</v>
      </c>
      <c r="D109" s="25"/>
      <c r="E109" s="49">
        <v>3501.4</v>
      </c>
      <c r="F109" s="49">
        <f>E109*0.95+0.07</f>
        <v>3326.4</v>
      </c>
      <c r="G109" s="49">
        <f t="shared" si="27"/>
        <v>175</v>
      </c>
      <c r="H109" s="50"/>
      <c r="I109" s="66"/>
      <c r="J109" s="66"/>
      <c r="K109" s="66"/>
      <c r="L109" s="66"/>
      <c r="M109" s="66"/>
      <c r="N109" s="66"/>
      <c r="O109" s="66"/>
      <c r="P109" s="66"/>
      <c r="Q109" s="146"/>
      <c r="R109" s="104"/>
      <c r="S109" s="41"/>
      <c r="T109" s="49"/>
      <c r="U109" s="86"/>
      <c r="V109" s="63"/>
      <c r="W109" s="70"/>
      <c r="X109" s="2" t="s">
        <v>129</v>
      </c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1:42" ht="27" customHeight="1">
      <c r="A110" s="24">
        <v>69</v>
      </c>
      <c r="B110" s="106" t="s">
        <v>144</v>
      </c>
      <c r="C110" s="45">
        <v>0.63</v>
      </c>
      <c r="D110" s="25"/>
      <c r="E110" s="49">
        <v>9978.2000000000007</v>
      </c>
      <c r="F110" s="49">
        <f>E110*0.95-0.09</f>
        <v>9479.2000000000007</v>
      </c>
      <c r="G110" s="49">
        <f t="shared" si="27"/>
        <v>499</v>
      </c>
      <c r="H110" s="50"/>
      <c r="I110" s="66"/>
      <c r="J110" s="66"/>
      <c r="K110" s="66"/>
      <c r="L110" s="66"/>
      <c r="M110" s="66"/>
      <c r="N110" s="66"/>
      <c r="O110" s="66"/>
      <c r="P110" s="66"/>
      <c r="Q110" s="146"/>
      <c r="R110" s="104"/>
      <c r="S110" s="41"/>
      <c r="T110" s="49"/>
      <c r="U110" s="86"/>
      <c r="V110" s="63"/>
      <c r="W110" s="70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  <row r="111" spans="1:42" ht="27.75" customHeight="1">
      <c r="A111" s="24"/>
      <c r="B111" s="105" t="s">
        <v>22</v>
      </c>
      <c r="C111" s="16">
        <f>C112</f>
        <v>1.6</v>
      </c>
      <c r="D111" s="16"/>
      <c r="E111" s="16">
        <f>E112</f>
        <v>40000</v>
      </c>
      <c r="F111" s="16">
        <f>F112</f>
        <v>37600</v>
      </c>
      <c r="G111" s="16">
        <f>G112</f>
        <v>2400</v>
      </c>
      <c r="H111" s="16"/>
      <c r="I111" s="16"/>
      <c r="J111" s="16"/>
      <c r="K111" s="16"/>
      <c r="L111" s="23"/>
      <c r="M111" s="23"/>
      <c r="N111" s="23"/>
      <c r="O111" s="23"/>
      <c r="P111" s="23"/>
      <c r="Q111" s="145"/>
      <c r="R111" s="17">
        <f>R112</f>
        <v>1.6</v>
      </c>
      <c r="S111" s="16"/>
      <c r="T111" s="16">
        <f>T112</f>
        <v>40000</v>
      </c>
      <c r="U111" s="16">
        <f>U112</f>
        <v>37600</v>
      </c>
      <c r="V111" s="18">
        <f>V112</f>
        <v>2400</v>
      </c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</row>
    <row r="112" spans="1:42" ht="33.75" customHeight="1">
      <c r="A112" s="24">
        <v>70</v>
      </c>
      <c r="B112" s="106" t="s">
        <v>106</v>
      </c>
      <c r="C112" s="45">
        <v>1.6</v>
      </c>
      <c r="D112" s="49"/>
      <c r="E112" s="49">
        <v>40000</v>
      </c>
      <c r="F112" s="49">
        <v>37600</v>
      </c>
      <c r="G112" s="49">
        <v>2400</v>
      </c>
      <c r="H112" s="16"/>
      <c r="I112" s="16"/>
      <c r="J112" s="16"/>
      <c r="K112" s="16"/>
      <c r="L112" s="23"/>
      <c r="M112" s="23"/>
      <c r="N112" s="23"/>
      <c r="O112" s="23"/>
      <c r="P112" s="23"/>
      <c r="Q112" s="145"/>
      <c r="R112" s="104">
        <v>1.6</v>
      </c>
      <c r="S112" s="89"/>
      <c r="T112" s="49">
        <v>40000</v>
      </c>
      <c r="U112" s="61">
        <f>T112*0.94</f>
        <v>37600</v>
      </c>
      <c r="V112" s="63">
        <f>T112-U112</f>
        <v>2400</v>
      </c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</row>
    <row r="113" spans="1:42" ht="27.2" hidden="1" customHeight="1">
      <c r="A113" s="24"/>
      <c r="B113" s="105" t="s">
        <v>23</v>
      </c>
      <c r="C113" s="14"/>
      <c r="D113" s="14"/>
      <c r="E113" s="14"/>
      <c r="F113" s="14"/>
      <c r="G113" s="14"/>
      <c r="H113" s="26"/>
      <c r="I113" s="14"/>
      <c r="J113" s="14"/>
      <c r="K113" s="14"/>
      <c r="L113" s="14"/>
      <c r="M113" s="14"/>
      <c r="N113" s="14"/>
      <c r="O113" s="14"/>
      <c r="P113" s="14"/>
      <c r="Q113" s="20"/>
      <c r="R113" s="73"/>
      <c r="S113" s="73"/>
      <c r="T113" s="21"/>
      <c r="U113" s="35"/>
      <c r="V113" s="15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</row>
    <row r="114" spans="1:42" ht="27.2" hidden="1" customHeight="1">
      <c r="A114" s="24"/>
      <c r="B114" s="105"/>
      <c r="C114" s="14"/>
      <c r="D114" s="14"/>
      <c r="E114" s="14"/>
      <c r="F114" s="14"/>
      <c r="G114" s="14"/>
      <c r="H114" s="26"/>
      <c r="I114" s="14"/>
      <c r="J114" s="14"/>
      <c r="K114" s="14"/>
      <c r="L114" s="14"/>
      <c r="M114" s="14"/>
      <c r="N114" s="14"/>
      <c r="O114" s="14"/>
      <c r="P114" s="14"/>
      <c r="Q114" s="20"/>
      <c r="R114" s="73"/>
      <c r="S114" s="73"/>
      <c r="T114" s="21"/>
      <c r="U114" s="35"/>
      <c r="V114" s="15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</row>
    <row r="115" spans="1:42" ht="24.75" customHeight="1">
      <c r="A115" s="24"/>
      <c r="B115" s="105" t="s">
        <v>24</v>
      </c>
      <c r="C115" s="16">
        <f>C116+C117+C118</f>
        <v>20.812999999999999</v>
      </c>
      <c r="D115" s="16"/>
      <c r="E115" s="16">
        <f>E116+E117+E118</f>
        <v>406351.1</v>
      </c>
      <c r="F115" s="16">
        <f>F116+F117+F118</f>
        <v>377906.5</v>
      </c>
      <c r="G115" s="16">
        <f>G116+G117+G118</f>
        <v>28444.6</v>
      </c>
      <c r="H115" s="16">
        <f>H119</f>
        <v>1.1080000000000001</v>
      </c>
      <c r="I115" s="16"/>
      <c r="J115" s="16">
        <f>J119</f>
        <v>22096.9</v>
      </c>
      <c r="K115" s="16">
        <f>K119</f>
        <v>20550.099999999999</v>
      </c>
      <c r="L115" s="16">
        <f>L119</f>
        <v>1546.8000000000029</v>
      </c>
      <c r="M115" s="16"/>
      <c r="N115" s="16"/>
      <c r="O115" s="16"/>
      <c r="P115" s="16"/>
      <c r="Q115" s="18"/>
      <c r="R115" s="17" t="e">
        <f>#REF!+#REF!</f>
        <v>#REF!</v>
      </c>
      <c r="S115" s="16"/>
      <c r="T115" s="16" t="e">
        <f>#REF!+#REF!</f>
        <v>#REF!</v>
      </c>
      <c r="U115" s="16" t="e">
        <f>#REF!+#REF!</f>
        <v>#REF!</v>
      </c>
      <c r="V115" s="18" t="e">
        <f>#REF!+#REF!</f>
        <v>#REF!</v>
      </c>
      <c r="W115" s="2"/>
      <c r="X115" s="2" t="s">
        <v>29</v>
      </c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</row>
    <row r="116" spans="1:42" ht="33" customHeight="1">
      <c r="A116" s="24">
        <v>71</v>
      </c>
      <c r="B116" s="109" t="s">
        <v>58</v>
      </c>
      <c r="C116" s="45">
        <v>13.45</v>
      </c>
      <c r="D116" s="13"/>
      <c r="E116" s="49">
        <v>275135</v>
      </c>
      <c r="F116" s="49">
        <v>255875.5</v>
      </c>
      <c r="G116" s="49">
        <f>E116-F116</f>
        <v>19259.5</v>
      </c>
      <c r="H116" s="21"/>
      <c r="I116" s="21"/>
      <c r="J116" s="21"/>
      <c r="K116" s="21"/>
      <c r="L116" s="21"/>
      <c r="M116" s="21"/>
      <c r="N116" s="21"/>
      <c r="O116" s="21"/>
      <c r="P116" s="21"/>
      <c r="Q116" s="139"/>
      <c r="R116" s="73"/>
      <c r="S116" s="73"/>
      <c r="T116" s="21"/>
      <c r="U116" s="35"/>
      <c r="V116" s="15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</row>
    <row r="117" spans="1:42" ht="23.25" customHeight="1">
      <c r="A117" s="24">
        <v>72</v>
      </c>
      <c r="B117" s="109" t="s">
        <v>92</v>
      </c>
      <c r="C117" s="45">
        <v>5.3250000000000002</v>
      </c>
      <c r="D117" s="13"/>
      <c r="E117" s="49">
        <v>66700</v>
      </c>
      <c r="F117" s="49">
        <v>62031</v>
      </c>
      <c r="G117" s="49">
        <f>E117-F117</f>
        <v>4669</v>
      </c>
      <c r="H117" s="21"/>
      <c r="I117" s="21"/>
      <c r="J117" s="21"/>
      <c r="K117" s="21"/>
      <c r="L117" s="21"/>
      <c r="M117" s="21"/>
      <c r="N117" s="21"/>
      <c r="O117" s="21"/>
      <c r="P117" s="21"/>
      <c r="Q117" s="139"/>
      <c r="R117" s="73"/>
      <c r="S117" s="73"/>
      <c r="T117" s="21"/>
      <c r="U117" s="35"/>
      <c r="V117" s="15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</row>
    <row r="118" spans="1:42" ht="28.5" customHeight="1">
      <c r="A118" s="24">
        <v>73</v>
      </c>
      <c r="B118" s="106" t="s">
        <v>137</v>
      </c>
      <c r="C118" s="45">
        <f>0.801+1.237</f>
        <v>2.0380000000000003</v>
      </c>
      <c r="D118" s="13"/>
      <c r="E118" s="49">
        <v>64516.1</v>
      </c>
      <c r="F118" s="49">
        <v>60000</v>
      </c>
      <c r="G118" s="49">
        <f>E118-F118</f>
        <v>4516.0999999999985</v>
      </c>
      <c r="H118" s="21"/>
      <c r="I118" s="21"/>
      <c r="J118" s="21"/>
      <c r="K118" s="21"/>
      <c r="L118" s="21"/>
      <c r="M118" s="21"/>
      <c r="N118" s="21"/>
      <c r="O118" s="21"/>
      <c r="P118" s="21"/>
      <c r="Q118" s="139"/>
      <c r="R118" s="73"/>
      <c r="S118" s="73"/>
      <c r="T118" s="21"/>
      <c r="U118" s="35"/>
      <c r="V118" s="15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</row>
    <row r="119" spans="1:42" ht="45" customHeight="1">
      <c r="A119" s="7">
        <v>74</v>
      </c>
      <c r="B119" s="106" t="s">
        <v>128</v>
      </c>
      <c r="C119" s="45"/>
      <c r="D119" s="13"/>
      <c r="E119" s="49"/>
      <c r="F119" s="49"/>
      <c r="G119" s="49"/>
      <c r="H119" s="45">
        <f>0.816+0.192+0.1</f>
        <v>1.1080000000000001</v>
      </c>
      <c r="I119" s="16"/>
      <c r="J119" s="49">
        <v>22096.9</v>
      </c>
      <c r="K119" s="49">
        <v>20550.099999999999</v>
      </c>
      <c r="L119" s="49">
        <f>J119-K119</f>
        <v>1546.8000000000029</v>
      </c>
      <c r="M119" s="21"/>
      <c r="N119" s="21"/>
      <c r="O119" s="21"/>
      <c r="P119" s="21"/>
      <c r="Q119" s="139"/>
      <c r="R119" s="73"/>
      <c r="S119" s="73"/>
      <c r="T119" s="21"/>
      <c r="U119" s="35"/>
      <c r="V119" s="15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</row>
    <row r="120" spans="1:42" ht="33.75" customHeight="1">
      <c r="A120" s="24"/>
      <c r="B120" s="105" t="s">
        <v>25</v>
      </c>
      <c r="C120" s="16">
        <f>SUM(C121:C129)</f>
        <v>2.6920000000000002</v>
      </c>
      <c r="D120" s="14"/>
      <c r="E120" s="16">
        <f>SUM(E121:E129)</f>
        <v>79802.3</v>
      </c>
      <c r="F120" s="16">
        <f>SUM(F121:F129)</f>
        <v>75812.199999999983</v>
      </c>
      <c r="G120" s="16">
        <f>SUM(G121:G129)</f>
        <v>3990.1000000000008</v>
      </c>
      <c r="H120" s="26"/>
      <c r="I120" s="16"/>
      <c r="J120" s="16"/>
      <c r="K120" s="16"/>
      <c r="L120" s="16"/>
      <c r="M120" s="16"/>
      <c r="N120" s="16"/>
      <c r="O120" s="16"/>
      <c r="P120" s="16"/>
      <c r="Q120" s="18"/>
      <c r="R120" s="17" t="e">
        <f>#REF!</f>
        <v>#REF!</v>
      </c>
      <c r="S120" s="16"/>
      <c r="T120" s="16" t="e">
        <f>#REF!</f>
        <v>#REF!</v>
      </c>
      <c r="U120" s="16" t="e">
        <f>#REF!</f>
        <v>#REF!</v>
      </c>
      <c r="V120" s="18" t="e">
        <f>#REF!</f>
        <v>#REF!</v>
      </c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</row>
    <row r="121" spans="1:42" ht="27" customHeight="1">
      <c r="A121" s="7">
        <v>75</v>
      </c>
      <c r="B121" s="106" t="s">
        <v>111</v>
      </c>
      <c r="C121" s="45">
        <v>0.4</v>
      </c>
      <c r="D121" s="25"/>
      <c r="E121" s="49">
        <v>6598.8067700000001</v>
      </c>
      <c r="F121" s="49">
        <f>E121*0.95</f>
        <v>6268.8664314999996</v>
      </c>
      <c r="G121" s="49">
        <f>E121-F121</f>
        <v>329.94033850000051</v>
      </c>
      <c r="H121" s="31"/>
      <c r="I121" s="31"/>
      <c r="J121" s="31"/>
      <c r="K121" s="31"/>
      <c r="L121" s="31"/>
      <c r="M121" s="31"/>
      <c r="N121" s="31"/>
      <c r="O121" s="31"/>
      <c r="P121" s="31"/>
      <c r="Q121" s="147"/>
      <c r="R121" s="78"/>
      <c r="S121" s="78"/>
      <c r="T121" s="31"/>
      <c r="U121" s="39"/>
      <c r="V121" s="15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</row>
    <row r="122" spans="1:42" ht="27" customHeight="1">
      <c r="A122" s="7">
        <v>76</v>
      </c>
      <c r="B122" s="106" t="s">
        <v>110</v>
      </c>
      <c r="C122" s="45">
        <v>0.2</v>
      </c>
      <c r="D122" s="25"/>
      <c r="E122" s="49">
        <v>3236.7590599999999</v>
      </c>
      <c r="F122" s="49">
        <f>E122*0.95</f>
        <v>3074.9211069999997</v>
      </c>
      <c r="G122" s="49">
        <f>E122-F122</f>
        <v>161.8379530000002</v>
      </c>
      <c r="H122" s="31"/>
      <c r="I122" s="31"/>
      <c r="J122" s="31"/>
      <c r="K122" s="31"/>
      <c r="L122" s="31"/>
      <c r="M122" s="31"/>
      <c r="N122" s="31"/>
      <c r="O122" s="31"/>
      <c r="P122" s="31"/>
      <c r="Q122" s="147"/>
      <c r="R122" s="78"/>
      <c r="S122" s="78"/>
      <c r="T122" s="31"/>
      <c r="U122" s="39"/>
      <c r="V122" s="15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</row>
    <row r="123" spans="1:42" ht="27" customHeight="1">
      <c r="A123" s="7">
        <v>77</v>
      </c>
      <c r="B123" s="106" t="s">
        <v>72</v>
      </c>
      <c r="C123" s="45">
        <v>0.1</v>
      </c>
      <c r="D123" s="25"/>
      <c r="E123" s="49">
        <v>1582.6567299999999</v>
      </c>
      <c r="F123" s="49">
        <f>E123*0.95+0.015</f>
        <v>1503.5388934999999</v>
      </c>
      <c r="G123" s="49">
        <f t="shared" ref="G123:G129" si="28">E123-F123</f>
        <v>79.117836500000067</v>
      </c>
      <c r="H123" s="31"/>
      <c r="I123" s="31"/>
      <c r="J123" s="31"/>
      <c r="K123" s="31"/>
      <c r="L123" s="31"/>
      <c r="M123" s="31"/>
      <c r="N123" s="31"/>
      <c r="O123" s="31"/>
      <c r="P123" s="31"/>
      <c r="Q123" s="147"/>
      <c r="R123" s="78"/>
      <c r="S123" s="78"/>
      <c r="T123" s="31"/>
      <c r="U123" s="39"/>
      <c r="V123" s="15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</row>
    <row r="124" spans="1:42" ht="27" customHeight="1">
      <c r="A124" s="7">
        <v>78</v>
      </c>
      <c r="B124" s="106" t="s">
        <v>61</v>
      </c>
      <c r="C124" s="45">
        <v>0.12</v>
      </c>
      <c r="D124" s="25"/>
      <c r="E124" s="49">
        <v>3106.34049</v>
      </c>
      <c r="F124" s="49">
        <f t="shared" ref="F124:F129" si="29">E124*0.95</f>
        <v>2951.0234654999999</v>
      </c>
      <c r="G124" s="49">
        <f t="shared" si="28"/>
        <v>155.31702450000012</v>
      </c>
      <c r="H124" s="31"/>
      <c r="I124" s="31"/>
      <c r="J124" s="31"/>
      <c r="K124" s="31"/>
      <c r="L124" s="31"/>
      <c r="M124" s="31"/>
      <c r="N124" s="31"/>
      <c r="O124" s="31"/>
      <c r="P124" s="31"/>
      <c r="Q124" s="147"/>
      <c r="R124" s="78"/>
      <c r="S124" s="78"/>
      <c r="T124" s="31"/>
      <c r="U124" s="39"/>
      <c r="V124" s="15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</row>
    <row r="125" spans="1:42" ht="27" customHeight="1">
      <c r="A125" s="7">
        <v>79</v>
      </c>
      <c r="B125" s="106" t="s">
        <v>103</v>
      </c>
      <c r="C125" s="45">
        <v>0.501</v>
      </c>
      <c r="D125" s="25"/>
      <c r="E125" s="49">
        <v>9468.4413399999994</v>
      </c>
      <c r="F125" s="49">
        <f t="shared" si="29"/>
        <v>8995.0192729999999</v>
      </c>
      <c r="G125" s="49">
        <f t="shared" si="28"/>
        <v>473.42206699999952</v>
      </c>
      <c r="H125" s="31"/>
      <c r="I125" s="31"/>
      <c r="J125" s="31"/>
      <c r="K125" s="31"/>
      <c r="L125" s="31"/>
      <c r="M125" s="31"/>
      <c r="N125" s="31"/>
      <c r="O125" s="31"/>
      <c r="P125" s="31"/>
      <c r="Q125" s="147"/>
      <c r="R125" s="78"/>
      <c r="S125" s="78"/>
      <c r="T125" s="31"/>
      <c r="U125" s="39"/>
      <c r="V125" s="15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</row>
    <row r="126" spans="1:42" ht="27" customHeight="1">
      <c r="A126" s="7">
        <v>80</v>
      </c>
      <c r="B126" s="106" t="s">
        <v>73</v>
      </c>
      <c r="C126" s="45">
        <v>0.35</v>
      </c>
      <c r="D126" s="25"/>
      <c r="E126" s="49">
        <v>16883.914860000001</v>
      </c>
      <c r="F126" s="49">
        <f t="shared" si="29"/>
        <v>16039.719117000001</v>
      </c>
      <c r="G126" s="49">
        <f t="shared" si="28"/>
        <v>844.19574300000022</v>
      </c>
      <c r="H126" s="31"/>
      <c r="I126" s="31"/>
      <c r="J126" s="31"/>
      <c r="K126" s="31"/>
      <c r="L126" s="31"/>
      <c r="M126" s="31"/>
      <c r="N126" s="31"/>
      <c r="O126" s="31"/>
      <c r="P126" s="31"/>
      <c r="Q126" s="147"/>
      <c r="R126" s="78"/>
      <c r="S126" s="78"/>
      <c r="T126" s="31"/>
      <c r="U126" s="39"/>
      <c r="V126" s="15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</row>
    <row r="127" spans="1:42" ht="27" customHeight="1">
      <c r="A127" s="7">
        <v>81</v>
      </c>
      <c r="B127" s="106" t="s">
        <v>74</v>
      </c>
      <c r="C127" s="45">
        <v>0.17100000000000001</v>
      </c>
      <c r="D127" s="25"/>
      <c r="E127" s="49">
        <v>6316.1760800000002</v>
      </c>
      <c r="F127" s="49">
        <f t="shared" si="29"/>
        <v>6000.3672759999999</v>
      </c>
      <c r="G127" s="49">
        <f t="shared" si="28"/>
        <v>315.80880400000024</v>
      </c>
      <c r="H127" s="31"/>
      <c r="I127" s="31"/>
      <c r="J127" s="31"/>
      <c r="K127" s="31"/>
      <c r="L127" s="31"/>
      <c r="M127" s="31"/>
      <c r="N127" s="31"/>
      <c r="O127" s="31"/>
      <c r="P127" s="31"/>
      <c r="Q127" s="147"/>
      <c r="R127" s="78"/>
      <c r="S127" s="78"/>
      <c r="T127" s="31"/>
      <c r="U127" s="39"/>
      <c r="V127" s="15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</row>
    <row r="128" spans="1:42" ht="27" customHeight="1">
      <c r="A128" s="7">
        <v>82</v>
      </c>
      <c r="B128" s="106" t="s">
        <v>75</v>
      </c>
      <c r="C128" s="45">
        <v>0.6</v>
      </c>
      <c r="D128" s="25"/>
      <c r="E128" s="49">
        <v>27708.08396</v>
      </c>
      <c r="F128" s="49">
        <f t="shared" si="29"/>
        <v>26322.679762</v>
      </c>
      <c r="G128" s="49">
        <f t="shared" si="28"/>
        <v>1385.4041980000002</v>
      </c>
      <c r="H128" s="31"/>
      <c r="I128" s="31"/>
      <c r="J128" s="31"/>
      <c r="K128" s="31"/>
      <c r="L128" s="31"/>
      <c r="M128" s="31"/>
      <c r="N128" s="31"/>
      <c r="O128" s="31"/>
      <c r="P128" s="31"/>
      <c r="Q128" s="147"/>
      <c r="R128" s="78"/>
      <c r="S128" s="78"/>
      <c r="T128" s="31"/>
      <c r="U128" s="39"/>
      <c r="V128" s="15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</row>
    <row r="129" spans="1:42" ht="27" customHeight="1">
      <c r="A129" s="24">
        <v>83</v>
      </c>
      <c r="B129" s="106" t="s">
        <v>62</v>
      </c>
      <c r="C129" s="45">
        <v>0.25</v>
      </c>
      <c r="D129" s="25"/>
      <c r="E129" s="49">
        <v>4901.1207100000001</v>
      </c>
      <c r="F129" s="49">
        <f t="shared" si="29"/>
        <v>4656.0646745000004</v>
      </c>
      <c r="G129" s="49">
        <f t="shared" si="28"/>
        <v>245.05603549999978</v>
      </c>
      <c r="H129" s="31"/>
      <c r="I129" s="31"/>
      <c r="J129" s="31"/>
      <c r="K129" s="31"/>
      <c r="L129" s="31"/>
      <c r="M129" s="31"/>
      <c r="N129" s="31"/>
      <c r="O129" s="31"/>
      <c r="P129" s="31"/>
      <c r="Q129" s="147"/>
      <c r="R129" s="78"/>
      <c r="S129" s="78"/>
      <c r="T129" s="31"/>
      <c r="U129" s="39"/>
      <c r="V129" s="15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</row>
    <row r="130" spans="1:42" ht="33" customHeight="1">
      <c r="A130" s="7"/>
      <c r="B130" s="108" t="s">
        <v>26</v>
      </c>
      <c r="C130" s="16">
        <f>SUM(C131:C136)</f>
        <v>4.29</v>
      </c>
      <c r="D130" s="14"/>
      <c r="E130" s="16">
        <f>SUM(E131:E136)</f>
        <v>61202.3</v>
      </c>
      <c r="F130" s="16">
        <f t="shared" ref="F130:G130" si="30">SUM(F131:F136)</f>
        <v>57530.2</v>
      </c>
      <c r="G130" s="16">
        <f t="shared" si="30"/>
        <v>3672.1000000000004</v>
      </c>
      <c r="H130" s="16"/>
      <c r="I130" s="16"/>
      <c r="J130" s="16"/>
      <c r="K130" s="16"/>
      <c r="L130" s="16"/>
      <c r="M130" s="16"/>
      <c r="N130" s="16"/>
      <c r="O130" s="16"/>
      <c r="P130" s="16"/>
      <c r="Q130" s="18"/>
      <c r="R130" s="17" t="e">
        <f>R132+#REF!</f>
        <v>#REF!</v>
      </c>
      <c r="S130" s="17"/>
      <c r="T130" s="16" t="e">
        <f>T132+#REF!</f>
        <v>#REF!</v>
      </c>
      <c r="U130" s="22" t="e">
        <f>U132+#REF!</f>
        <v>#REF!</v>
      </c>
      <c r="V130" s="18" t="e">
        <f>V132+#REF!</f>
        <v>#REF!</v>
      </c>
      <c r="W130" s="2"/>
      <c r="X130" s="2"/>
      <c r="Y130" s="2" t="s">
        <v>32</v>
      </c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</row>
    <row r="131" spans="1:42" ht="27.2" customHeight="1">
      <c r="A131" s="24">
        <v>84</v>
      </c>
      <c r="B131" s="109" t="s">
        <v>63</v>
      </c>
      <c r="C131" s="45">
        <v>0.78</v>
      </c>
      <c r="D131" s="14"/>
      <c r="E131" s="49">
        <v>17550</v>
      </c>
      <c r="F131" s="49">
        <v>16497</v>
      </c>
      <c r="G131" s="49">
        <v>1053</v>
      </c>
      <c r="H131" s="16"/>
      <c r="I131" s="16"/>
      <c r="J131" s="16"/>
      <c r="K131" s="16"/>
      <c r="L131" s="16"/>
      <c r="M131" s="16"/>
      <c r="N131" s="16"/>
      <c r="O131" s="16"/>
      <c r="P131" s="16"/>
      <c r="Q131" s="18"/>
      <c r="R131" s="17"/>
      <c r="S131" s="17"/>
      <c r="T131" s="16"/>
      <c r="U131" s="22"/>
      <c r="V131" s="18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</row>
    <row r="132" spans="1:42" ht="21.75" customHeight="1">
      <c r="A132" s="24">
        <v>85</v>
      </c>
      <c r="B132" s="109" t="s">
        <v>59</v>
      </c>
      <c r="C132" s="45">
        <v>1.05</v>
      </c>
      <c r="D132" s="13"/>
      <c r="E132" s="49">
        <v>31617</v>
      </c>
      <c r="F132" s="49">
        <v>29720</v>
      </c>
      <c r="G132" s="49">
        <v>1897</v>
      </c>
      <c r="H132" s="46"/>
      <c r="I132" s="16"/>
      <c r="J132" s="16"/>
      <c r="K132" s="16"/>
      <c r="L132" s="21"/>
      <c r="M132" s="21"/>
      <c r="N132" s="21"/>
      <c r="O132" s="21"/>
      <c r="P132" s="21"/>
      <c r="Q132" s="139"/>
      <c r="R132" s="111">
        <v>9.4879999999999995</v>
      </c>
      <c r="S132" s="74"/>
      <c r="T132" s="16">
        <v>132500</v>
      </c>
      <c r="U132" s="22">
        <f>T132</f>
        <v>132500</v>
      </c>
      <c r="V132" s="18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</row>
    <row r="133" spans="1:42" ht="27.75" customHeight="1">
      <c r="A133" s="24">
        <v>86</v>
      </c>
      <c r="B133" s="109" t="s">
        <v>93</v>
      </c>
      <c r="C133" s="45">
        <v>0.65</v>
      </c>
      <c r="D133" s="13"/>
      <c r="E133" s="49">
        <v>2662.2</v>
      </c>
      <c r="F133" s="49">
        <v>2502.5</v>
      </c>
      <c r="G133" s="49">
        <f>E133-F133</f>
        <v>159.69999999999982</v>
      </c>
      <c r="H133" s="46"/>
      <c r="I133" s="16"/>
      <c r="J133" s="16"/>
      <c r="K133" s="16"/>
      <c r="L133" s="21"/>
      <c r="M133" s="21"/>
      <c r="N133" s="21"/>
      <c r="O133" s="21"/>
      <c r="P133" s="21"/>
      <c r="Q133" s="139"/>
      <c r="R133" s="111"/>
      <c r="S133" s="74"/>
      <c r="T133" s="16"/>
      <c r="U133" s="22"/>
      <c r="V133" s="18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</row>
    <row r="134" spans="1:42" ht="27.75" customHeight="1">
      <c r="A134" s="24">
        <v>87</v>
      </c>
      <c r="B134" s="109" t="s">
        <v>131</v>
      </c>
      <c r="C134" s="45">
        <v>0.85</v>
      </c>
      <c r="D134" s="13"/>
      <c r="E134" s="49">
        <v>4919.4498000000003</v>
      </c>
      <c r="F134" s="49">
        <v>4624.3</v>
      </c>
      <c r="G134" s="49">
        <f t="shared" ref="G134:G136" si="31">E134-F134</f>
        <v>295.14980000000014</v>
      </c>
      <c r="H134" s="45"/>
      <c r="I134" s="16"/>
      <c r="J134" s="16"/>
      <c r="K134" s="16"/>
      <c r="L134" s="21"/>
      <c r="M134" s="21"/>
      <c r="N134" s="21"/>
      <c r="O134" s="21"/>
      <c r="P134" s="21"/>
      <c r="Q134" s="139"/>
      <c r="R134" s="111"/>
      <c r="S134" s="74"/>
      <c r="T134" s="16"/>
      <c r="U134" s="22"/>
      <c r="V134" s="18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</row>
    <row r="135" spans="1:42" ht="27.75" customHeight="1">
      <c r="A135" s="24">
        <v>88</v>
      </c>
      <c r="B135" s="109" t="s">
        <v>132</v>
      </c>
      <c r="C135" s="45">
        <v>0.11</v>
      </c>
      <c r="D135" s="13"/>
      <c r="E135" s="49">
        <v>1456.6502</v>
      </c>
      <c r="F135" s="49">
        <v>1369.2</v>
      </c>
      <c r="G135" s="49">
        <f t="shared" si="31"/>
        <v>87.450199999999995</v>
      </c>
      <c r="H135" s="45"/>
      <c r="I135" s="16"/>
      <c r="J135" s="16"/>
      <c r="K135" s="16"/>
      <c r="L135" s="21"/>
      <c r="M135" s="21"/>
      <c r="N135" s="21"/>
      <c r="O135" s="21"/>
      <c r="P135" s="21"/>
      <c r="Q135" s="139"/>
      <c r="R135" s="111"/>
      <c r="S135" s="74"/>
      <c r="T135" s="16"/>
      <c r="U135" s="22"/>
      <c r="V135" s="18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</row>
    <row r="136" spans="1:42" ht="27.75" customHeight="1">
      <c r="A136" s="24">
        <v>89</v>
      </c>
      <c r="B136" s="109" t="s">
        <v>133</v>
      </c>
      <c r="C136" s="45">
        <v>0.85</v>
      </c>
      <c r="D136" s="13"/>
      <c r="E136" s="49">
        <v>2997</v>
      </c>
      <c r="F136" s="49">
        <v>2817.2</v>
      </c>
      <c r="G136" s="49">
        <f t="shared" si="31"/>
        <v>179.80000000000018</v>
      </c>
      <c r="H136" s="45"/>
      <c r="I136" s="16"/>
      <c r="J136" s="16"/>
      <c r="K136" s="16"/>
      <c r="L136" s="21"/>
      <c r="M136" s="21"/>
      <c r="N136" s="21"/>
      <c r="O136" s="21"/>
      <c r="P136" s="21"/>
      <c r="Q136" s="139"/>
      <c r="R136" s="111"/>
      <c r="S136" s="74"/>
      <c r="T136" s="16"/>
      <c r="U136" s="22"/>
      <c r="V136" s="18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</row>
    <row r="137" spans="1:42" ht="27.2" customHeight="1">
      <c r="A137" s="24"/>
      <c r="B137" s="105" t="s">
        <v>27</v>
      </c>
      <c r="C137" s="16">
        <f>C138+C140</f>
        <v>0.1</v>
      </c>
      <c r="D137" s="60"/>
      <c r="E137" s="16">
        <f>E138+E140</f>
        <v>361177.1</v>
      </c>
      <c r="F137" s="16">
        <f>F138+F140</f>
        <v>335894.7</v>
      </c>
      <c r="G137" s="16">
        <f>G138+G140</f>
        <v>25282.399999999965</v>
      </c>
      <c r="H137" s="16">
        <f>H140</f>
        <v>1.18</v>
      </c>
      <c r="I137" s="16">
        <f>I140</f>
        <v>0.32500000000000001</v>
      </c>
      <c r="J137" s="16">
        <f>J140</f>
        <v>428993.5</v>
      </c>
      <c r="K137" s="16">
        <f>K140</f>
        <v>398963.95500000002</v>
      </c>
      <c r="L137" s="16">
        <f>L140</f>
        <v>30029.544999999984</v>
      </c>
      <c r="M137" s="16"/>
      <c r="N137" s="16"/>
      <c r="O137" s="16"/>
      <c r="P137" s="16"/>
      <c r="Q137" s="18"/>
      <c r="R137" s="17" t="e">
        <f>#REF!+#REF!+#REF!+#REF!</f>
        <v>#REF!</v>
      </c>
      <c r="S137" s="17"/>
      <c r="T137" s="14" t="e">
        <f>#REF!+#REF!+#REF!+#REF!</f>
        <v>#REF!</v>
      </c>
      <c r="U137" s="12" t="e">
        <f>#REF!+#REF!+#REF!+#REF!</f>
        <v>#REF!</v>
      </c>
      <c r="V137" s="20" t="e">
        <f>#REF!+#REF!+#REF!</f>
        <v>#REF!</v>
      </c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</row>
    <row r="138" spans="1:42" ht="39.75" customHeight="1">
      <c r="A138" s="24">
        <v>90</v>
      </c>
      <c r="B138" s="109" t="s">
        <v>140</v>
      </c>
      <c r="C138" s="45">
        <v>0.1</v>
      </c>
      <c r="D138" s="60"/>
      <c r="E138" s="49">
        <v>60000</v>
      </c>
      <c r="F138" s="49">
        <f>E138*0.93</f>
        <v>55800</v>
      </c>
      <c r="G138" s="49">
        <f>E138-F138</f>
        <v>4200</v>
      </c>
      <c r="H138" s="16"/>
      <c r="I138" s="16"/>
      <c r="J138" s="16"/>
      <c r="K138" s="16"/>
      <c r="L138" s="16"/>
      <c r="M138" s="16"/>
      <c r="N138" s="16"/>
      <c r="O138" s="16"/>
      <c r="P138" s="16"/>
      <c r="Q138" s="18"/>
      <c r="R138" s="17"/>
      <c r="S138" s="17"/>
      <c r="T138" s="14"/>
      <c r="U138" s="12"/>
      <c r="V138" s="20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</row>
    <row r="139" spans="1:42" ht="94.5" hidden="1" customHeight="1">
      <c r="A139" s="24">
        <v>90</v>
      </c>
      <c r="B139" s="109" t="s">
        <v>139</v>
      </c>
      <c r="C139" s="45">
        <v>0.2</v>
      </c>
      <c r="D139" s="60"/>
      <c r="E139" s="49">
        <f>F139*100/93</f>
        <v>27508.817204301075</v>
      </c>
      <c r="F139" s="49">
        <v>25583.200000000001</v>
      </c>
      <c r="G139" s="49">
        <f>E139-F139</f>
        <v>1925.6172043010738</v>
      </c>
      <c r="H139" s="16"/>
      <c r="I139" s="16"/>
      <c r="J139" s="16"/>
      <c r="K139" s="16"/>
      <c r="L139" s="16"/>
      <c r="M139" s="16"/>
      <c r="N139" s="16"/>
      <c r="O139" s="16"/>
      <c r="P139" s="16"/>
      <c r="Q139" s="18"/>
      <c r="R139" s="17"/>
      <c r="S139" s="17"/>
      <c r="T139" s="14"/>
      <c r="U139" s="12"/>
      <c r="V139" s="20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</row>
    <row r="140" spans="1:42" ht="63" customHeight="1" thickBot="1">
      <c r="A140" s="148">
        <v>91</v>
      </c>
      <c r="B140" s="149" t="s">
        <v>138</v>
      </c>
      <c r="C140" s="150"/>
      <c r="D140" s="151"/>
      <c r="E140" s="152">
        <v>301177.09999999998</v>
      </c>
      <c r="F140" s="152">
        <v>280094.7</v>
      </c>
      <c r="G140" s="152">
        <f t="shared" ref="G140" si="32">E140-F140</f>
        <v>21082.399999999965</v>
      </c>
      <c r="H140" s="150">
        <v>1.18</v>
      </c>
      <c r="I140" s="150">
        <f>0.111+0.214</f>
        <v>0.32500000000000001</v>
      </c>
      <c r="J140" s="152">
        <f>730170.6-E140</f>
        <v>428993.5</v>
      </c>
      <c r="K140" s="152">
        <f>J140*0.93</f>
        <v>398963.95500000002</v>
      </c>
      <c r="L140" s="152">
        <f>J140-K140</f>
        <v>30029.544999999984</v>
      </c>
      <c r="M140" s="153"/>
      <c r="N140" s="153"/>
      <c r="O140" s="153"/>
      <c r="P140" s="153"/>
      <c r="Q140" s="154"/>
      <c r="R140" s="17"/>
      <c r="S140" s="17"/>
      <c r="T140" s="14"/>
      <c r="U140" s="12"/>
      <c r="V140" s="20"/>
      <c r="W140" s="70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</row>
    <row r="141" spans="1:42" ht="30.75" customHeight="1"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</row>
    <row r="142" spans="1:42" ht="30.75" customHeight="1"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</row>
    <row r="143" spans="1:42" ht="30.75" customHeight="1"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</row>
    <row r="144" spans="1:42" ht="36" customHeight="1">
      <c r="B144" s="177" t="s">
        <v>142</v>
      </c>
      <c r="C144" s="177"/>
      <c r="D144" s="177"/>
      <c r="E144" s="177"/>
      <c r="F144" s="2"/>
      <c r="G144" s="2"/>
      <c r="H144" s="2"/>
      <c r="I144" s="2"/>
      <c r="J144" s="2"/>
      <c r="K144" s="2"/>
      <c r="L144" s="2"/>
      <c r="M144" s="2"/>
      <c r="N144" s="2"/>
      <c r="O144" s="155" t="s">
        <v>143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</row>
    <row r="145" spans="3:42" ht="39.75" customHeight="1"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</row>
    <row r="146" spans="3:42"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</row>
    <row r="147" spans="3:42"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</row>
    <row r="148" spans="3:42"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</row>
    <row r="149" spans="3:42"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</row>
    <row r="150" spans="3:42"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</row>
    <row r="151" spans="3:42"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</row>
    <row r="152" spans="3:42"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</row>
    <row r="153" spans="3:42"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</row>
  </sheetData>
  <mergeCells count="25">
    <mergeCell ref="B144:E144"/>
    <mergeCell ref="M6:N6"/>
    <mergeCell ref="O6:O7"/>
    <mergeCell ref="P6:Q6"/>
    <mergeCell ref="H6:I6"/>
    <mergeCell ref="J6:J7"/>
    <mergeCell ref="K6:L6"/>
    <mergeCell ref="A9:Q9"/>
    <mergeCell ref="B10:Q10"/>
    <mergeCell ref="K1:Q1"/>
    <mergeCell ref="R1:V1"/>
    <mergeCell ref="A2:V2"/>
    <mergeCell ref="A3:V3"/>
    <mergeCell ref="A5:A7"/>
    <mergeCell ref="B5:B7"/>
    <mergeCell ref="C5:G5"/>
    <mergeCell ref="H5:L5"/>
    <mergeCell ref="M5:Q5"/>
    <mergeCell ref="R5:V5"/>
    <mergeCell ref="R6:S6"/>
    <mergeCell ref="T6:T7"/>
    <mergeCell ref="U6:V6"/>
    <mergeCell ref="C6:D6"/>
    <mergeCell ref="E6:E7"/>
    <mergeCell ref="F6:G6"/>
  </mergeCells>
  <printOptions horizontalCentered="1"/>
  <pageMargins left="0.59055118110236227" right="0.39370078740157483" top="0.59055118110236227" bottom="0.59055118110236227" header="0.19685039370078741" footer="0.11811023622047245"/>
  <pageSetup paperSize="9" scale="50" firstPageNumber="76" fitToHeight="7" orientation="landscape" useFirstPageNumber="1" r:id="rId1"/>
  <headerFooter alignWithMargins="0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08.04.2024 Чернянка</vt:lpstr>
      <vt:lpstr>'08.04.2024 Чернянка'!Заголовки_для_печати</vt:lpstr>
      <vt:lpstr>'08.04.2024 Чернянка'!Область_печати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2024-05-03T09:14:30Z</cp:lastPrinted>
  <dcterms:created xsi:type="dcterms:W3CDTF">2020-10-29T15:31:04Z</dcterms:created>
  <dcterms:modified xsi:type="dcterms:W3CDTF">2024-05-03T09:14:32Z</dcterms:modified>
</cp:coreProperties>
</file>