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45" yWindow="-210" windowWidth="18795" windowHeight="12525"/>
  </bookViews>
  <sheets>
    <sheet name="27.04.2024 УТОЧ " sheetId="25" r:id="rId1"/>
  </sheets>
  <definedNames>
    <definedName name="Z_D9A49370_59EF_4DF5_B20D_A46D1CBDF607_.wvu.PrintTitles" localSheetId="0" hidden="1">'27.04.2024 УТОЧ '!$5:$8</definedName>
    <definedName name="Z_D9A49370_59EF_4DF5_B20D_A46D1CBDF607_.wvu.Rows" localSheetId="0" hidden="1">'27.04.2024 УТОЧ '!#REF!</definedName>
    <definedName name="_xlnm.Print_Titles" localSheetId="0">'27.04.2024 УТОЧ '!$5:$9</definedName>
    <definedName name="_xlnm.Print_Area" localSheetId="0">'27.04.2024 УТОЧ '!$A$1:$AB$157</definedName>
  </definedNames>
  <calcPr calcId="124519"/>
</workbook>
</file>

<file path=xl/calcChain.xml><?xml version="1.0" encoding="utf-8"?>
<calcChain xmlns="http://schemas.openxmlformats.org/spreadsheetml/2006/main">
  <c r="AF13" i="25"/>
  <c r="AF51"/>
  <c r="AB119"/>
  <c r="AC119" s="1"/>
  <c r="G117"/>
  <c r="G118" s="1"/>
  <c r="G109"/>
  <c r="Y109" s="1"/>
  <c r="Y110" s="1"/>
  <c r="G88"/>
  <c r="G89" s="1"/>
  <c r="G49"/>
  <c r="G51" s="1"/>
  <c r="G85"/>
  <c r="G55"/>
  <c r="Y55" s="1"/>
  <c r="Y57" s="1"/>
  <c r="G39"/>
  <c r="G34"/>
  <c r="Y34" s="1"/>
  <c r="Y37" s="1"/>
  <c r="G24"/>
  <c r="Y22"/>
  <c r="G22"/>
  <c r="G25" s="1"/>
  <c r="AB22"/>
  <c r="G19"/>
  <c r="AB15"/>
  <c r="AB17" s="1"/>
  <c r="AB157"/>
  <c r="Z157"/>
  <c r="AB156"/>
  <c r="Z156"/>
  <c r="AB155"/>
  <c r="Z155"/>
  <c r="Z137" s="1"/>
  <c r="V153"/>
  <c r="T153"/>
  <c r="AB151"/>
  <c r="Z151"/>
  <c r="AB149"/>
  <c r="Z149"/>
  <c r="AB147"/>
  <c r="Z147"/>
  <c r="AB145"/>
  <c r="Z145"/>
  <c r="Y143"/>
  <c r="Y137" s="1"/>
  <c r="W143"/>
  <c r="W137" s="1"/>
  <c r="AB142"/>
  <c r="Z142"/>
  <c r="AB141"/>
  <c r="Z141"/>
  <c r="AB139"/>
  <c r="Z139"/>
  <c r="AB137"/>
  <c r="V137"/>
  <c r="T137"/>
  <c r="G137"/>
  <c r="E137"/>
  <c r="V135"/>
  <c r="G135"/>
  <c r="V134"/>
  <c r="G132"/>
  <c r="V131"/>
  <c r="V132" s="1"/>
  <c r="V129"/>
  <c r="G129"/>
  <c r="G121" s="1"/>
  <c r="E128"/>
  <c r="D128"/>
  <c r="E127"/>
  <c r="D127"/>
  <c r="E126"/>
  <c r="D126"/>
  <c r="AB125"/>
  <c r="AB129" s="1"/>
  <c r="AB121" s="1"/>
  <c r="Y125"/>
  <c r="Y129" s="1"/>
  <c r="Y121" s="1"/>
  <c r="G125"/>
  <c r="E125"/>
  <c r="D125"/>
  <c r="V124"/>
  <c r="G124"/>
  <c r="V123"/>
  <c r="AF119"/>
  <c r="Y119"/>
  <c r="G119"/>
  <c r="E119"/>
  <c r="W118"/>
  <c r="AF118" s="1"/>
  <c r="R118"/>
  <c r="Q118"/>
  <c r="P118"/>
  <c r="N118"/>
  <c r="M118"/>
  <c r="L118"/>
  <c r="J118"/>
  <c r="I118"/>
  <c r="H118"/>
  <c r="E118"/>
  <c r="W117"/>
  <c r="S115"/>
  <c r="R115"/>
  <c r="Q115"/>
  <c r="P115"/>
  <c r="O115"/>
  <c r="N115"/>
  <c r="M115"/>
  <c r="L115"/>
  <c r="J115"/>
  <c r="I115"/>
  <c r="H115"/>
  <c r="Y113"/>
  <c r="G113" s="1"/>
  <c r="G115" s="1"/>
  <c r="V113"/>
  <c r="V115" s="1"/>
  <c r="E113"/>
  <c r="E115" s="1"/>
  <c r="Y112"/>
  <c r="W112"/>
  <c r="V110"/>
  <c r="S110"/>
  <c r="R110"/>
  <c r="Q110"/>
  <c r="P110"/>
  <c r="N110"/>
  <c r="M110"/>
  <c r="L110"/>
  <c r="J110"/>
  <c r="I110"/>
  <c r="H110"/>
  <c r="E110"/>
  <c r="W109"/>
  <c r="W110" s="1"/>
  <c r="AG107"/>
  <c r="T107"/>
  <c r="T110" s="1"/>
  <c r="Z105"/>
  <c r="Y105"/>
  <c r="W105"/>
  <c r="S105"/>
  <c r="R105"/>
  <c r="Q105"/>
  <c r="P105"/>
  <c r="O105"/>
  <c r="N105"/>
  <c r="M105"/>
  <c r="L105"/>
  <c r="J105"/>
  <c r="I105"/>
  <c r="H105"/>
  <c r="AB102"/>
  <c r="AB105" s="1"/>
  <c r="Z102"/>
  <c r="G100"/>
  <c r="G105" s="1"/>
  <c r="E100"/>
  <c r="E105" s="1"/>
  <c r="V99"/>
  <c r="V105" s="1"/>
  <c r="E99"/>
  <c r="T99" s="1"/>
  <c r="AG98"/>
  <c r="T98"/>
  <c r="T105" s="1"/>
  <c r="AF105" s="1"/>
  <c r="AB95"/>
  <c r="Z95"/>
  <c r="V95"/>
  <c r="U95"/>
  <c r="S95"/>
  <c r="R95"/>
  <c r="Q95"/>
  <c r="P95"/>
  <c r="N95"/>
  <c r="M95"/>
  <c r="L95"/>
  <c r="J95"/>
  <c r="I95"/>
  <c r="H95"/>
  <c r="G95"/>
  <c r="E95"/>
  <c r="Y94"/>
  <c r="Y95" s="1"/>
  <c r="W94"/>
  <c r="W95" s="1"/>
  <c r="AG92"/>
  <c r="AG13" s="1"/>
  <c r="T92"/>
  <c r="T95" s="1"/>
  <c r="E89"/>
  <c r="W88"/>
  <c r="W89" s="1"/>
  <c r="AF89" s="1"/>
  <c r="V86"/>
  <c r="U86"/>
  <c r="T86"/>
  <c r="AF86" s="1"/>
  <c r="R86"/>
  <c r="Q86"/>
  <c r="P86"/>
  <c r="N86"/>
  <c r="M86"/>
  <c r="L86"/>
  <c r="J86"/>
  <c r="I86"/>
  <c r="H86"/>
  <c r="W85"/>
  <c r="W86" s="1"/>
  <c r="Y85"/>
  <c r="Y86" s="1"/>
  <c r="E85"/>
  <c r="E86" s="1"/>
  <c r="AB83"/>
  <c r="W83"/>
  <c r="V83"/>
  <c r="S83"/>
  <c r="R83"/>
  <c r="Q83"/>
  <c r="P83"/>
  <c r="N83"/>
  <c r="M83"/>
  <c r="L83"/>
  <c r="J83"/>
  <c r="I83"/>
  <c r="H83"/>
  <c r="E83"/>
  <c r="Z82"/>
  <c r="Z83" s="1"/>
  <c r="Y83"/>
  <c r="G82"/>
  <c r="G83" s="1"/>
  <c r="R78"/>
  <c r="Q78"/>
  <c r="P78"/>
  <c r="O78"/>
  <c r="N78"/>
  <c r="M78"/>
  <c r="L78"/>
  <c r="J78"/>
  <c r="I78"/>
  <c r="H78"/>
  <c r="G78"/>
  <c r="E78"/>
  <c r="Y77"/>
  <c r="W77"/>
  <c r="Y76"/>
  <c r="Y78" s="1"/>
  <c r="W76"/>
  <c r="W78" s="1"/>
  <c r="V74"/>
  <c r="U74"/>
  <c r="T74"/>
  <c r="R74"/>
  <c r="Q74"/>
  <c r="P74"/>
  <c r="O74"/>
  <c r="N74"/>
  <c r="M74"/>
  <c r="L74"/>
  <c r="J74"/>
  <c r="I74"/>
  <c r="H74"/>
  <c r="G74"/>
  <c r="E74"/>
  <c r="Y72"/>
  <c r="W72"/>
  <c r="W74" s="1"/>
  <c r="Y71"/>
  <c r="Y74" s="1"/>
  <c r="W71"/>
  <c r="E69"/>
  <c r="Y68"/>
  <c r="Y69" s="1"/>
  <c r="W68"/>
  <c r="W69" s="1"/>
  <c r="AF69" s="1"/>
  <c r="G68"/>
  <c r="G69" s="1"/>
  <c r="Y66"/>
  <c r="W66"/>
  <c r="G66"/>
  <c r="E66"/>
  <c r="Y61"/>
  <c r="W61"/>
  <c r="AF61" s="1"/>
  <c r="R61"/>
  <c r="Q61"/>
  <c r="P61"/>
  <c r="O61"/>
  <c r="N61"/>
  <c r="M61"/>
  <c r="L61"/>
  <c r="J61"/>
  <c r="I61"/>
  <c r="H61"/>
  <c r="G61"/>
  <c r="E61"/>
  <c r="Z57"/>
  <c r="V57"/>
  <c r="T57"/>
  <c r="R57"/>
  <c r="Q57"/>
  <c r="P57"/>
  <c r="O57"/>
  <c r="N57"/>
  <c r="M57"/>
  <c r="L57"/>
  <c r="J57"/>
  <c r="I57"/>
  <c r="H57"/>
  <c r="E57"/>
  <c r="AB56"/>
  <c r="AB57" s="1"/>
  <c r="Z56"/>
  <c r="G56"/>
  <c r="W55"/>
  <c r="W57" s="1"/>
  <c r="G53"/>
  <c r="W51"/>
  <c r="V51"/>
  <c r="U51"/>
  <c r="T51"/>
  <c r="S51"/>
  <c r="S12" s="1"/>
  <c r="R51"/>
  <c r="Q51"/>
  <c r="P51"/>
  <c r="O51"/>
  <c r="O12" s="1"/>
  <c r="N51"/>
  <c r="M51"/>
  <c r="L51"/>
  <c r="J51"/>
  <c r="I51"/>
  <c r="H51"/>
  <c r="E51"/>
  <c r="W49"/>
  <c r="V46"/>
  <c r="T46"/>
  <c r="S46"/>
  <c r="R46"/>
  <c r="Q46"/>
  <c r="P46"/>
  <c r="O46"/>
  <c r="N46"/>
  <c r="M46"/>
  <c r="L46"/>
  <c r="J46"/>
  <c r="I46"/>
  <c r="H46"/>
  <c r="W45"/>
  <c r="W46" s="1"/>
  <c r="G45"/>
  <c r="Y45" s="1"/>
  <c r="Y46" s="1"/>
  <c r="AG44"/>
  <c r="E44"/>
  <c r="E46" s="1"/>
  <c r="R41"/>
  <c r="Q41"/>
  <c r="P41"/>
  <c r="N41"/>
  <c r="M41"/>
  <c r="L41"/>
  <c r="J41"/>
  <c r="J12" s="1"/>
  <c r="I41"/>
  <c r="H41"/>
  <c r="G41"/>
  <c r="E41"/>
  <c r="Y40"/>
  <c r="W40"/>
  <c r="Y39"/>
  <c r="Y41" s="1"/>
  <c r="W39"/>
  <c r="W41" s="1"/>
  <c r="AF41" s="1"/>
  <c r="R37"/>
  <c r="Q37"/>
  <c r="P37"/>
  <c r="L37"/>
  <c r="J37"/>
  <c r="I37"/>
  <c r="H37"/>
  <c r="H12" s="1"/>
  <c r="Y36"/>
  <c r="W36"/>
  <c r="Y35"/>
  <c r="W35"/>
  <c r="W34"/>
  <c r="E34"/>
  <c r="E37" s="1"/>
  <c r="Y33"/>
  <c r="W33"/>
  <c r="W37" s="1"/>
  <c r="AF37" s="1"/>
  <c r="R29"/>
  <c r="Q29"/>
  <c r="P29"/>
  <c r="O29"/>
  <c r="N29"/>
  <c r="M29"/>
  <c r="L29"/>
  <c r="J29"/>
  <c r="I29"/>
  <c r="H29"/>
  <c r="G29"/>
  <c r="E29"/>
  <c r="Y28"/>
  <c r="Y29" s="1"/>
  <c r="W28"/>
  <c r="W29" s="1"/>
  <c r="AF29" s="1"/>
  <c r="Y27"/>
  <c r="W27"/>
  <c r="AB25"/>
  <c r="V25"/>
  <c r="R25"/>
  <c r="Q25"/>
  <c r="P25"/>
  <c r="N25"/>
  <c r="M25"/>
  <c r="L25"/>
  <c r="Y24"/>
  <c r="E24"/>
  <c r="W24" s="1"/>
  <c r="Y23"/>
  <c r="W23"/>
  <c r="Z22"/>
  <c r="Z25" s="1"/>
  <c r="W21"/>
  <c r="Y20"/>
  <c r="W20"/>
  <c r="E20"/>
  <c r="W19"/>
  <c r="W25" s="1"/>
  <c r="Y19"/>
  <c r="E19"/>
  <c r="W17"/>
  <c r="S17"/>
  <c r="R17"/>
  <c r="Q17"/>
  <c r="Q12" s="1"/>
  <c r="P17"/>
  <c r="P12" s="1"/>
  <c r="O17"/>
  <c r="N17"/>
  <c r="M17"/>
  <c r="M12" s="1"/>
  <c r="L17"/>
  <c r="L12" s="1"/>
  <c r="E17"/>
  <c r="Z15"/>
  <c r="Z17" s="1"/>
  <c r="G17"/>
  <c r="V14"/>
  <c r="V17" s="1"/>
  <c r="V12" s="1"/>
  <c r="T14"/>
  <c r="T17" s="1"/>
  <c r="E14"/>
  <c r="R12"/>
  <c r="N12"/>
  <c r="I12"/>
  <c r="AB12" l="1"/>
  <c r="AE13" s="1"/>
  <c r="Y117"/>
  <c r="Y118" s="1"/>
  <c r="G110"/>
  <c r="Y88"/>
  <c r="Y89" s="1"/>
  <c r="G57"/>
  <c r="Y49"/>
  <c r="Y51" s="1"/>
  <c r="Y25"/>
  <c r="AF17"/>
  <c r="T12"/>
  <c r="AF46"/>
  <c r="Z12"/>
  <c r="AC13" s="1"/>
  <c r="AF57"/>
  <c r="AF95"/>
  <c r="AF83"/>
  <c r="AF110"/>
  <c r="V121"/>
  <c r="AF25"/>
  <c r="Y115"/>
  <c r="E25"/>
  <c r="E12" s="1"/>
  <c r="G86"/>
  <c r="Y17"/>
  <c r="G37"/>
  <c r="G46"/>
  <c r="W113"/>
  <c r="W115" s="1"/>
  <c r="AF115" s="1"/>
  <c r="G12" l="1"/>
  <c r="Y12"/>
  <c r="AG12" s="1"/>
  <c r="AF12"/>
  <c r="W12"/>
</calcChain>
</file>

<file path=xl/sharedStrings.xml><?xml version="1.0" encoding="utf-8"?>
<sst xmlns="http://schemas.openxmlformats.org/spreadsheetml/2006/main" count="303" uniqueCount="166">
  <si>
    <t xml:space="preserve">  </t>
  </si>
  <si>
    <t>№ п/п</t>
  </si>
  <si>
    <t>Наименование объекта</t>
  </si>
  <si>
    <t>2019 год</t>
  </si>
  <si>
    <t>2020 год</t>
  </si>
  <si>
    <t>2021 год</t>
  </si>
  <si>
    <t>2024 год</t>
  </si>
  <si>
    <t>2025 год</t>
  </si>
  <si>
    <t>км</t>
  </si>
  <si>
    <t>Стоимость, тыс. рублей</t>
  </si>
  <si>
    <t>Всего</t>
  </si>
  <si>
    <t>в том числе</t>
  </si>
  <si>
    <t>областной бюджет</t>
  </si>
  <si>
    <t>федераль-ный бюджет</t>
  </si>
  <si>
    <t>федеральный бюджет</t>
  </si>
  <si>
    <t>I</t>
  </si>
  <si>
    <t>Алексеевский городской округ</t>
  </si>
  <si>
    <t>IV</t>
  </si>
  <si>
    <t>Белгородский район</t>
  </si>
  <si>
    <t xml:space="preserve">    </t>
  </si>
  <si>
    <t>II</t>
  </si>
  <si>
    <t xml:space="preserve">   </t>
  </si>
  <si>
    <t>Борисовский район</t>
  </si>
  <si>
    <t>III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</si>
  <si>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</si>
  <si>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</si>
  <si>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</si>
  <si>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</si>
  <si>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</si>
  <si>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V</t>
  </si>
  <si>
    <t>Корочанский район</t>
  </si>
  <si>
    <t>Красногвардейский район</t>
  </si>
  <si>
    <t>Прохоровский район</t>
  </si>
  <si>
    <t>Ракитянский район</t>
  </si>
  <si>
    <t>Старооскольский городской округ</t>
  </si>
  <si>
    <t>Шебекинский городской округ</t>
  </si>
  <si>
    <t>Яковлевский городской округ</t>
  </si>
  <si>
    <t>резерв</t>
  </si>
  <si>
    <t>Разумное - Севрюково - Новосадовый,                 км 8+245 - км 14+635</t>
  </si>
  <si>
    <t>«Валуйки - Казинка - Вериговка» - Бирюч, 
км 0+000 - км 0+620</t>
  </si>
  <si>
    <t xml:space="preserve">«Валуйки - Казинка - Вериговка» - Дубровка, км 0+000 - км 1+600 </t>
  </si>
  <si>
    <t>Краснояружский район</t>
  </si>
  <si>
    <t>«Грайворон - Илёк-Пеньковка» - Теребрено - Староселье, км 0+000 - км 5+090</t>
  </si>
  <si>
    <t>«Ровеньки - Шияны», км 0+000 - км 7+600</t>
  </si>
  <si>
    <t>Чернянский район</t>
  </si>
  <si>
    <t>Шебекино - Муром - Середа, км 3+031-            км 4+581; км 4+726 - км 5+730</t>
  </si>
  <si>
    <t>Иловка - граница Воронежской области,                       км 0+000 - км 7+060</t>
  </si>
  <si>
    <t xml:space="preserve">Гезов - Хлевище - «Попасное - Мирный»,           км 0+000 - км 7+600                                 </t>
  </si>
  <si>
    <t>«Валуйки - Казинка - Вериговка»,                                        км 26+800 - км 32+550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</si>
  <si>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</si>
  <si>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</si>
  <si>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«Головчино - Доброполье» - Горьковский,              км 0+000 - км 1+700</t>
  </si>
  <si>
    <t>«Грайворон - Илёк-Пеньковка» - Почаево -Смородино, км 3+500 - км 8+470</t>
  </si>
  <si>
    <t>Короча - Губкин - граница Курской области, км 24+ 000 - км 29 +000</t>
  </si>
  <si>
    <t>Ивнянский район</t>
  </si>
  <si>
    <t>Ивня - Песчаное - Череново,                                      км 0+000 - км 4+892</t>
  </si>
  <si>
    <t>Красненский район</t>
  </si>
  <si>
    <t>Котляров - Ливенка - Ковалев,                                    км 0+000 - км 4+400</t>
  </si>
  <si>
    <t>ИТОГО по Красногвардейскому району:</t>
  </si>
  <si>
    <t>«Грайворон - Илёк-Пеньковка» - Теребрено - Староселье, км 5+090 - км 10+400</t>
  </si>
  <si>
    <t>ИТОГО по Краснояружскому району:</t>
  </si>
  <si>
    <t>Новооскольский городской округ</t>
  </si>
  <si>
    <t>Великомихайловка - Подвислое,                         км 0+018 - км 2+800</t>
  </si>
  <si>
    <t>Ровеньский район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</si>
  <si>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</si>
  <si>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-Айдар - Харьковское - Масловка,                                 км 0+000 - км 9+500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</si>
  <si>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</si>
  <si>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               км 0+000 - км 11+400 </t>
  </si>
  <si>
    <t>«Незнамово - Архангельское - Потудань - Роговатое» - Озерки - Выползово,                                км 0+000 - км 7+400</t>
  </si>
  <si>
    <t>Старый Оскол -Чернянка - Новый Оскол - Ездочное - Холки, км 0+000 - км 7+900</t>
  </si>
  <si>
    <t>Максимовка - Мешковое - Терезовка,                                                                   км 0+000 - км 13+057</t>
  </si>
  <si>
    <t xml:space="preserve">«Белгород - Новый Оскол - Советское» - Калитва - Николаевка, км 0+020 - км 0+140; км 0+310 - км 5+400                                          </t>
  </si>
  <si>
    <t xml:space="preserve">Беломестное - Слоновка - Николаевка - Львовка, км 0+000 - км 12+020;  км 23+485 - км 25+215                                  </t>
  </si>
  <si>
    <t>«Уразово-Герасимовка-Конотоповка»,                 км 6+620 - км 19+160</t>
  </si>
  <si>
    <t>Стригуны - Зыбино - Крюково,                                                          км 3+500 - км 4+000</t>
  </si>
  <si>
    <t>Долгое - Россошь - Потоловка,                                          км 0+000 - км 7+000</t>
  </si>
  <si>
    <t>Вислая Дубрава - Русановка - Чапкино,                      км 0+000 - км 9+500</t>
  </si>
  <si>
    <t>Белгород - Шебекино - Волоконовка,                  км 37+100 - км 45+800</t>
  </si>
  <si>
    <t>«Валуйки - Алексеевка - Красное»,                   км 29+400 - км 37+100</t>
  </si>
  <si>
    <t>«Валуйки - Алексеевка - Красное»,                   км 20+200 - км 29+400</t>
  </si>
  <si>
    <t>Старый Оскол - Песчанка - Николаевка,                                        км 0+130 - км 5+600</t>
  </si>
  <si>
    <t>Параметры сооружения</t>
  </si>
  <si>
    <t>Катего-рия</t>
  </si>
  <si>
    <t>Протяженность</t>
  </si>
  <si>
    <t>пог. м</t>
  </si>
  <si>
    <t>2026 год</t>
  </si>
  <si>
    <t>Объём финансирования по годам</t>
  </si>
  <si>
    <t>ВСЕГО</t>
  </si>
  <si>
    <t>Отремонтировано автодорог регионального значения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</si>
  <si>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</si>
  <si>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ВСЕГО за счет средств областного бюджета</t>
  </si>
  <si>
    <t>Капитально отремонтировано автодорог регионального значения и искусственных сооружений на них</t>
  </si>
  <si>
    <t>Таврово - Соломино - Разумное, км 5+200 -           км 5+480 (устройство автопавильонов)</t>
  </si>
  <si>
    <t>Капитально отремонтировано дорог по элементам обустройства (устройство недостающего электроосвещения)</t>
  </si>
  <si>
    <t>Белгород - Новый Оскол - Советское - Айдар, км 32+250 - км 38+268</t>
  </si>
  <si>
    <t>«Валуйки - Казинка - Вериговка» - Рябики, км 0+000 - км 1+491; км 1+535 - км 8+860</t>
  </si>
  <si>
    <t>Роговатое - Преображенка - Менжулюк,                            км 0+000 - км 3+500</t>
  </si>
  <si>
    <t xml:space="preserve">Шаталовка - Луганка - Боровая - Высокий, км 0+000 - км 10+000 </t>
  </si>
  <si>
    <t>Воскресеновка - Яблоново, км 0+000 -                                    км 3+700</t>
  </si>
  <si>
    <t>Юго - Западный 2 - Комсомольский, км 0+000 -км 1+400 (развязка)</t>
  </si>
  <si>
    <t xml:space="preserve">Белгород - Грайворон - Козинка, км 66+200 - км 69+100 </t>
  </si>
  <si>
    <t>подъезд к с.Шляхово, км 0+000 - км 2+300</t>
  </si>
  <si>
    <t>«Самойловка - Кощеево - Хмелевое» -Долгий Бродок, км 0+000 - км 1+900</t>
  </si>
  <si>
    <t>«Белгород - Новый Оскол - Советское» - Замостье, км 0+000 - км 2+200</t>
  </si>
  <si>
    <t>Подольхи - Гнездиловка - Черновка,                                          км 5+200 - км 8+300</t>
  </si>
  <si>
    <t>«Томаровка -Красная Яруга - Илек-Пеньковка - Колотиловка» - Коровино,                                                       км  6+300 - км 9+800</t>
  </si>
  <si>
    <t xml:space="preserve">Шаталовка - Роговатое                                                    (ликвидация оползневых явлений                                         на км 1+900 - км 2+370) </t>
  </si>
  <si>
    <t xml:space="preserve">ул. Студенческая - «Северо - Восточный обход города Белгорода»                                                              (ликвидация оползневых явлений                                                         на км 2+300 - км 2+700) </t>
  </si>
  <si>
    <t>город Белгород</t>
  </si>
  <si>
    <t xml:space="preserve">Белгород - Шебекино - Волоконовка,                                     км 26+000 - км 37+100                                                                              </t>
  </si>
  <si>
    <t>Алексеевка - Мухоудеровка - Дальнее Чесночное с подъездом к селу Мухоудеровка, км 13+100 - км 19+400 (Мухоудеровка);             км 22+700 - км 27+700 (Ближнее Чесночное)</t>
  </si>
  <si>
    <t xml:space="preserve"> </t>
  </si>
  <si>
    <t>ИТОГО по Алексеевскому городскому округу</t>
  </si>
  <si>
    <t>ИТОГО по Белгородскому району</t>
  </si>
  <si>
    <t>ИТОГО по Борисовскому району</t>
  </si>
  <si>
    <t>ИТОГО по Валуйскому городскому округу</t>
  </si>
  <si>
    <t>ИТОГО по Вейделевскому району</t>
  </si>
  <si>
    <t>ИТОГО по Волоконовскому району</t>
  </si>
  <si>
    <t>ИТОГО по Грайворонскому городскому округу</t>
  </si>
  <si>
    <t>ИТОГО по Губкинскому городскому округу</t>
  </si>
  <si>
    <t>ИТОГО по Ивнянскому району</t>
  </si>
  <si>
    <t>ИТОГО по Корочанскому району</t>
  </si>
  <si>
    <t>ИТОГО по Красненскому району</t>
  </si>
  <si>
    <t>ИТОГО по Новооскольскому городскому округу</t>
  </si>
  <si>
    <t>ИТОГО по Прохоровскому району</t>
  </si>
  <si>
    <t>ИТОГО по Ракитянскому району</t>
  </si>
  <si>
    <t>ИТОГО по Ровеньскому району</t>
  </si>
  <si>
    <t>ИТОГО по Старооскольскому городскому округу</t>
  </si>
  <si>
    <t>ИТОГО по Чернянскому району</t>
  </si>
  <si>
    <t>ИТОГО по городу Белгороду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</si>
  <si>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2024 - 2026 годы   </t>
  </si>
  <si>
    <t>Беломестное - Шишино, км 0+000 -                             км 3+300 (устройство освещения                                                 и тротуара вдоль автодороги)</t>
  </si>
  <si>
    <t>Хохловский - Хохлово, км 0+000 - км 1+900 (устройство освещения и тротуара вдоль автодороги)</t>
  </si>
  <si>
    <t>Церковный - Щетиновка - граница Борисовского района  (Октябрьский-Церковный, Щетиновка -2,2 км)</t>
  </si>
  <si>
    <t>Октябрьский - Отрадное - Красная Нива (Октябрьский, Отрадное, Красная Нива)</t>
  </si>
  <si>
    <t>Валуйки - Пристень - Борки (Валуйки, Колыхалино, Кургашки)</t>
  </si>
  <si>
    <t>Грайворон - Новостроевка Вторая (Грайворон, Новостроевка Первая, Новостроевка Вторая)</t>
  </si>
  <si>
    <t>Ярское - Гнилица  (Ярское, Чаусовка, Гнилица)</t>
  </si>
  <si>
    <t>Транспортная развязка на автомобильной дороге Федосеевка - Гидроузел, км 0+000</t>
  </si>
  <si>
    <t xml:space="preserve">Быковка - Дмитриевка - «Бутово - Курская Дуга»  (Быковка, Крапивное, Ворскла, Ольховка, Дмитриевка) </t>
  </si>
  <si>
    <t>Станция Сажное - Шахово (Сажное, Озерово, Шахово)</t>
  </si>
  <si>
    <t>Томаровка - «Крым» - Комсомольский - Красиво» (Томаровка)</t>
  </si>
  <si>
    <t xml:space="preserve">мкр. Новодубовской - мкр. Майский - 8,       км 0+000 - км 5+100 </t>
  </si>
  <si>
    <t xml:space="preserve">«Крым»- Ясные Зори - Архангельское,                км 10+750 - км 13+800                          </t>
  </si>
  <si>
    <t xml:space="preserve">     </t>
  </si>
  <si>
    <t>Борисовка - Пролетарский - Октябрьская Готня - станция Кулиновка - Красный Куток, км 0+015 - км 4+000</t>
  </si>
  <si>
    <t>«Валуйки - Казинка - Вериговка» - Конопляновка», км 0+020 - км 5+000</t>
  </si>
  <si>
    <t>Скородное - Кочки, км 3+200 - км 7+100</t>
  </si>
  <si>
    <t>Сергиевка - Сарыкино - Копцево,                                                 км 5+600 - км 12+000</t>
  </si>
  <si>
    <t>Короча - Чернянка - Красное, км 100+700 - км 104+800</t>
  </si>
  <si>
    <t>Ивня - Песчаное - Череново, км 0+000 -                       км 4+892</t>
  </si>
  <si>
    <r>
      <t>«Белгород - Новый Оскол - Советское» - Богородское,  км  0+053 - км 9+700</t>
    </r>
    <r>
      <rPr>
        <b/>
        <sz val="12"/>
        <rFont val="Times New Roman"/>
        <family val="1"/>
        <charset val="204"/>
      </rPr>
      <t xml:space="preserve"> </t>
    </r>
  </si>
  <si>
    <t>Магистраль 1-1, км 0+000 - км 19+800</t>
  </si>
  <si>
    <t>Обход г. Старый Оскол, км 0+000 -                             км 5+500</t>
  </si>
  <si>
    <t>Томаровка - Строитель - «Крым»,                               км 6+400 - км 12+800</t>
  </si>
  <si>
    <t xml:space="preserve">Таврово - Соломино - Разумное,                                                                                            км 0+000 - км 3+000 - 2025 год;                                                                              км 3+000 - км 4+600 - 2026 год    </t>
  </si>
  <si>
    <t>ул. Студенческая - «Северо - Восточный обход города Белгорода»                                                              (ликвидация оползневых явлений                                                         на км 2+300 - км 2+700 -  II этап)</t>
  </si>
  <si>
    <t xml:space="preserve">«Крым» - Ясные Зори - Архангельское,                 км 6+510 - км 10+750                         </t>
  </si>
  <si>
    <t>«Новый Оскол - Валуйки - Ровеньки» - Николаевка - Малакеево - Ромахово,                            км 21+700 - км 27+100</t>
  </si>
  <si>
    <t xml:space="preserve"> «Волоконовка - Ливенка - Никитовка» - Пыточный - Покровка - Шеншиновка,                                      км 0+000 - км 6+850</t>
  </si>
  <si>
    <t>Подъезд к селу Нижний Ольшанец,                                      км 0+745 - км 3+650</t>
  </si>
  <si>
    <t>Приложение  № 8                                                                                                                                    к  государственной программе Белгородской области «Совершенствование и развитие транспортной системы    и дорожной сети Белгородской области»</t>
  </si>
  <si>
    <t>ИТОГО по Шебекинскому городскому округу</t>
  </si>
  <si>
    <t>ИТОГО по Яковлевскому городскому округу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</si>
  <si>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</si>
  <si>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Дальняя Игуменка - Хохлово - Киселево,                 км 6+850 - км 8+450; км 10+800 -                                                               км 11+000 (устройство освещения                                                               и тротуара вдоль автодороги)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</si>
</sst>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#,##0.000"/>
    <numFmt numFmtId="167" formatCode="#,##0.000_р_."/>
    <numFmt numFmtId="168" formatCode="0.000"/>
    <numFmt numFmtId="169" formatCode="_-* #,##0.00_р_._-;\-* #,##0.00_р_._-;_-* &quot;-&quot;??_р_._-;_-@_-"/>
    <numFmt numFmtId="170" formatCode="_-* #,##0.0_р_._-;\-* #,##0.0_р_._-;_-* &quot;-&quot;??_р_._-;_-@_-"/>
    <numFmt numFmtId="171" formatCode="#,##0.0;[Red]#,##0.0"/>
    <numFmt numFmtId="172" formatCode="#,##0.0_р_."/>
    <numFmt numFmtId="173" formatCode="#,##0.00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indexed="9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169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5" fillId="0" borderId="0"/>
  </cellStyleXfs>
  <cellXfs count="179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/>
    <xf numFmtId="0" fontId="3" fillId="0" borderId="0" xfId="2" applyFont="1"/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6" fillId="0" borderId="0" xfId="0" applyFont="1"/>
    <xf numFmtId="0" fontId="2" fillId="0" borderId="0" xfId="2"/>
    <xf numFmtId="0" fontId="2" fillId="0" borderId="0" xfId="2" applyBorder="1"/>
    <xf numFmtId="0" fontId="3" fillId="0" borderId="0" xfId="2" applyFont="1" applyBorder="1"/>
    <xf numFmtId="0" fontId="2" fillId="0" borderId="0" xfId="2" applyFont="1" applyBorder="1"/>
    <xf numFmtId="0" fontId="0" fillId="0" borderId="0" xfId="0" applyBorder="1"/>
    <xf numFmtId="164" fontId="8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3" fontId="11" fillId="0" borderId="1" xfId="2" applyNumberFormat="1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3" fontId="9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Fill="1" applyBorder="1" applyAlignment="1">
      <alignment vertic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4" fillId="0" borderId="0" xfId="2" applyFont="1" applyFill="1" applyAlignment="1">
      <alignment vertical="center" wrapText="1"/>
    </xf>
    <xf numFmtId="0" fontId="14" fillId="0" borderId="0" xfId="2" applyFont="1" applyAlignment="1">
      <alignment vertical="center" wrapText="1"/>
    </xf>
    <xf numFmtId="0" fontId="2" fillId="0" borderId="0" xfId="2" applyFill="1"/>
    <xf numFmtId="0" fontId="14" fillId="0" borderId="0" xfId="2" applyFont="1" applyFill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14" fillId="0" borderId="0" xfId="2" applyFont="1"/>
    <xf numFmtId="0" fontId="14" fillId="0" borderId="0" xfId="2" applyFont="1" applyFill="1"/>
    <xf numFmtId="0" fontId="14" fillId="2" borderId="0" xfId="2" applyFont="1" applyFill="1"/>
    <xf numFmtId="0" fontId="4" fillId="0" borderId="0" xfId="2" applyFont="1" applyFill="1" applyAlignment="1">
      <alignment horizontal="center"/>
    </xf>
    <xf numFmtId="0" fontId="8" fillId="0" borderId="2" xfId="2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14" fillId="0" borderId="1" xfId="2" applyFont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171" fontId="9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171" fontId="15" fillId="0" borderId="1" xfId="0" applyNumberFormat="1" applyFont="1" applyBorder="1" applyAlignment="1">
      <alignment horizontal="center" vertical="center" wrapText="1"/>
    </xf>
    <xf numFmtId="172" fontId="15" fillId="0" borderId="1" xfId="0" applyNumberFormat="1" applyFont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/>
    </xf>
    <xf numFmtId="164" fontId="11" fillId="3" borderId="1" xfId="2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justify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justify" wrapText="1"/>
    </xf>
    <xf numFmtId="164" fontId="9" fillId="0" borderId="10" xfId="2" applyNumberFormat="1" applyFont="1" applyFill="1" applyBorder="1" applyAlignment="1">
      <alignment horizontal="center" vertical="center" wrapText="1"/>
    </xf>
    <xf numFmtId="0" fontId="9" fillId="0" borderId="0" xfId="2" applyFont="1" applyBorder="1" applyAlignment="1">
      <alignment vertical="center" wrapText="1"/>
    </xf>
    <xf numFmtId="0" fontId="9" fillId="0" borderId="16" xfId="2" applyFont="1" applyFill="1" applyBorder="1" applyAlignment="1">
      <alignment horizontal="center" vertical="justify" wrapText="1"/>
    </xf>
    <xf numFmtId="0" fontId="15" fillId="0" borderId="10" xfId="0" applyFont="1" applyBorder="1" applyAlignment="1">
      <alignment horizontal="left" vertical="top" wrapText="1"/>
    </xf>
    <xf numFmtId="3" fontId="8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top" wrapText="1"/>
    </xf>
    <xf numFmtId="171" fontId="15" fillId="0" borderId="10" xfId="0" applyNumberFormat="1" applyFont="1" applyBorder="1" applyAlignment="1">
      <alignment horizontal="center" vertical="center" wrapText="1"/>
    </xf>
    <xf numFmtId="171" fontId="9" fillId="0" borderId="10" xfId="0" applyNumberFormat="1" applyFont="1" applyFill="1" applyBorder="1" applyAlignment="1">
      <alignment horizontal="center" vertical="center"/>
    </xf>
    <xf numFmtId="171" fontId="8" fillId="0" borderId="10" xfId="0" applyNumberFormat="1" applyFont="1" applyFill="1" applyBorder="1" applyAlignment="1">
      <alignment horizontal="center" vertical="center"/>
    </xf>
    <xf numFmtId="0" fontId="14" fillId="0" borderId="18" xfId="2" applyFont="1" applyFill="1" applyBorder="1" applyAlignment="1">
      <alignment vertical="center" wrapText="1"/>
    </xf>
    <xf numFmtId="0" fontId="2" fillId="0" borderId="18" xfId="2" applyFill="1" applyBorder="1"/>
    <xf numFmtId="164" fontId="8" fillId="0" borderId="4" xfId="2" applyNumberFormat="1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3" fillId="0" borderId="25" xfId="2" applyFont="1" applyBorder="1"/>
    <xf numFmtId="0" fontId="8" fillId="0" borderId="19" xfId="2" applyFont="1" applyFill="1" applyBorder="1" applyAlignment="1">
      <alignment horizontal="center" vertical="center"/>
    </xf>
    <xf numFmtId="4" fontId="8" fillId="0" borderId="10" xfId="2" applyNumberFormat="1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/>
    </xf>
    <xf numFmtId="164" fontId="8" fillId="0" borderId="5" xfId="2" applyNumberFormat="1" applyFont="1" applyFill="1" applyBorder="1" applyAlignment="1">
      <alignment horizontal="center" vertical="center" wrapText="1"/>
    </xf>
    <xf numFmtId="164" fontId="12" fillId="0" borderId="5" xfId="2" applyNumberFormat="1" applyFont="1" applyFill="1" applyBorder="1" applyAlignment="1">
      <alignment horizontal="center" vertical="center" wrapText="1"/>
    </xf>
    <xf numFmtId="164" fontId="9" fillId="0" borderId="5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 wrapText="1"/>
    </xf>
    <xf numFmtId="0" fontId="8" fillId="0" borderId="30" xfId="2" applyFont="1" applyFill="1" applyBorder="1" applyAlignment="1">
      <alignment horizontal="center" vertical="center"/>
    </xf>
    <xf numFmtId="0" fontId="9" fillId="0" borderId="10" xfId="2" applyFont="1" applyFill="1" applyBorder="1"/>
    <xf numFmtId="0" fontId="14" fillId="0" borderId="1" xfId="2" applyFont="1" applyFill="1" applyBorder="1" applyAlignment="1">
      <alignment vertical="center" wrapText="1"/>
    </xf>
    <xf numFmtId="0" fontId="2" fillId="0" borderId="1" xfId="2" applyFill="1" applyBorder="1"/>
    <xf numFmtId="172" fontId="9" fillId="0" borderId="1" xfId="3" applyNumberFormat="1" applyFont="1" applyFill="1" applyBorder="1" applyAlignment="1">
      <alignment horizontal="center" vertical="center" wrapText="1"/>
    </xf>
    <xf numFmtId="164" fontId="2" fillId="0" borderId="0" xfId="2" applyNumberFormat="1"/>
    <xf numFmtId="164" fontId="9" fillId="0" borderId="0" xfId="2" applyNumberFormat="1" applyFont="1" applyAlignment="1">
      <alignment vertical="center" wrapText="1"/>
    </xf>
    <xf numFmtId="0" fontId="14" fillId="0" borderId="10" xfId="2" applyFont="1" applyBorder="1" applyAlignment="1">
      <alignment vertical="center" wrapText="1"/>
    </xf>
    <xf numFmtId="0" fontId="9" fillId="0" borderId="17" xfId="2" applyFont="1" applyFill="1" applyBorder="1" applyAlignment="1">
      <alignment horizontal="center" vertical="justify" wrapText="1"/>
    </xf>
    <xf numFmtId="0" fontId="9" fillId="0" borderId="18" xfId="2" applyFont="1" applyFill="1" applyBorder="1" applyAlignment="1">
      <alignment horizontal="left" vertical="center" wrapText="1"/>
    </xf>
    <xf numFmtId="0" fontId="9" fillId="0" borderId="18" xfId="2" applyFont="1" applyFill="1" applyBorder="1" applyAlignment="1">
      <alignment horizontal="center" vertical="center" wrapText="1"/>
    </xf>
    <xf numFmtId="167" fontId="9" fillId="0" borderId="18" xfId="2" applyNumberFormat="1" applyFont="1" applyFill="1" applyBorder="1" applyAlignment="1">
      <alignment horizontal="center" vertical="center" wrapText="1"/>
    </xf>
    <xf numFmtId="0" fontId="14" fillId="0" borderId="18" xfId="2" applyFont="1" applyBorder="1" applyAlignment="1">
      <alignment vertical="center" wrapText="1"/>
    </xf>
    <xf numFmtId="171" fontId="9" fillId="0" borderId="18" xfId="0" applyNumberFormat="1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171" fontId="9" fillId="0" borderId="19" xfId="0" applyNumberFormat="1" applyFont="1" applyFill="1" applyBorder="1" applyAlignment="1">
      <alignment horizontal="center" vertical="center"/>
    </xf>
    <xf numFmtId="164" fontId="8" fillId="0" borderId="0" xfId="2" applyNumberFormat="1" applyFont="1" applyAlignment="1">
      <alignment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 wrapText="1"/>
    </xf>
    <xf numFmtId="173" fontId="9" fillId="0" borderId="0" xfId="2" applyNumberFormat="1" applyFont="1" applyAlignment="1">
      <alignment vertical="center" wrapText="1"/>
    </xf>
    <xf numFmtId="165" fontId="9" fillId="0" borderId="0" xfId="2" applyNumberFormat="1" applyFont="1" applyAlignment="1">
      <alignment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166" fontId="9" fillId="0" borderId="15" xfId="2" applyNumberFormat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>
      <alignment horizontal="center" vertical="center" wrapText="1"/>
    </xf>
    <xf numFmtId="164" fontId="9" fillId="0" borderId="28" xfId="2" applyNumberFormat="1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justify" wrapText="1"/>
    </xf>
    <xf numFmtId="165" fontId="9" fillId="0" borderId="3" xfId="0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9" xfId="10" applyNumberFormat="1" applyFont="1" applyFill="1" applyBorder="1" applyAlignment="1">
      <alignment horizontal="center" vertical="center" wrapText="1"/>
    </xf>
    <xf numFmtId="49" fontId="8" fillId="0" borderId="11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8" fillId="0" borderId="2" xfId="10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8" fillId="0" borderId="24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6" fontId="9" fillId="0" borderId="12" xfId="2" applyNumberFormat="1" applyFont="1" applyFill="1" applyBorder="1" applyAlignment="1">
      <alignment horizontal="center" vertical="center" wrapText="1"/>
    </xf>
    <xf numFmtId="166" fontId="9" fillId="0" borderId="15" xfId="2" applyNumberFormat="1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>
      <alignment horizontal="center" vertical="center" wrapText="1"/>
    </xf>
    <xf numFmtId="164" fontId="9" fillId="0" borderId="27" xfId="2" applyNumberFormat="1" applyFont="1" applyFill="1" applyBorder="1" applyAlignment="1">
      <alignment horizontal="center" vertical="center" wrapText="1"/>
    </xf>
    <xf numFmtId="164" fontId="9" fillId="0" borderId="28" xfId="2" applyNumberFormat="1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justify" wrapText="1"/>
    </xf>
    <xf numFmtId="0" fontId="9" fillId="0" borderId="14" xfId="2" applyFont="1" applyFill="1" applyBorder="1" applyAlignment="1">
      <alignment horizontal="center" vertical="justify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4" fontId="9" fillId="0" borderId="29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 wrapText="1"/>
    </xf>
    <xf numFmtId="164" fontId="9" fillId="0" borderId="30" xfId="2" applyNumberFormat="1" applyFont="1" applyFill="1" applyBorder="1" applyAlignment="1">
      <alignment horizontal="center" vertical="center" wrapText="1"/>
    </xf>
    <xf numFmtId="164" fontId="9" fillId="0" borderId="15" xfId="2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3" xfId="4"/>
    <cellStyle name="Обычный 13 2" xfId="5"/>
    <cellStyle name="Обычный 14" xfId="6"/>
    <cellStyle name="Обычный 14 2" xfId="7"/>
    <cellStyle name="Обычный 3" xfId="8"/>
    <cellStyle name="Обычный 4" xfId="9"/>
    <cellStyle name="Обычный_3-РЕМОНТ_МОСТОВ на 2011год" xfId="10"/>
    <cellStyle name="Обычный_мероприятия (приложение 2 к 139-пп)" xfId="3"/>
    <cellStyle name="Стиль 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autoPageBreaks="0" fitToPage="1"/>
  </sheetPr>
  <dimension ref="A1:AQ385"/>
  <sheetViews>
    <sheetView tabSelected="1" view="pageBreakPreview" zoomScale="57" zoomScaleNormal="46" zoomScaleSheetLayoutView="57" workbookViewId="0">
      <pane xSplit="3" ySplit="9" topLeftCell="E10" activePane="bottomRight" state="frozen"/>
      <selection activeCell="A6" sqref="A6"/>
      <selection pane="topRight" activeCell="D6" sqref="D6"/>
      <selection pane="bottomLeft" activeCell="A13" sqref="A13"/>
      <selection pane="bottomRight" activeCell="AC1" sqref="AC1:AI1048576"/>
    </sheetView>
  </sheetViews>
  <sheetFormatPr defaultColWidth="9.140625" defaultRowHeight="16.5"/>
  <cols>
    <col min="1" max="1" width="7.140625" style="46" customWidth="1"/>
    <col min="2" max="2" width="57.7109375" style="47" customWidth="1"/>
    <col min="3" max="3" width="12.28515625" style="47" customWidth="1"/>
    <col min="4" max="4" width="18.5703125" style="47" hidden="1" customWidth="1"/>
    <col min="5" max="5" width="13.28515625" style="47" customWidth="1"/>
    <col min="6" max="6" width="13.7109375" style="47" customWidth="1"/>
    <col min="7" max="7" width="22" style="47" customWidth="1"/>
    <col min="8" max="8" width="9.7109375" style="47" hidden="1" customWidth="1"/>
    <col min="9" max="9" width="16.140625" style="47" hidden="1" customWidth="1"/>
    <col min="10" max="10" width="16.42578125" style="47" hidden="1" customWidth="1"/>
    <col min="11" max="11" width="14.140625" style="47" hidden="1" customWidth="1"/>
    <col min="12" max="12" width="10.85546875" style="49" hidden="1" customWidth="1"/>
    <col min="13" max="13" width="16.7109375" style="49" hidden="1" customWidth="1"/>
    <col min="14" max="14" width="19" style="49" hidden="1" customWidth="1"/>
    <col min="15" max="15" width="16.5703125" style="49" hidden="1" customWidth="1"/>
    <col min="16" max="16" width="11.5703125" style="47" hidden="1" customWidth="1"/>
    <col min="17" max="17" width="17.7109375" style="47" hidden="1" customWidth="1"/>
    <col min="18" max="18" width="19.28515625" style="47" hidden="1" customWidth="1"/>
    <col min="19" max="19" width="18.28515625" style="47" hidden="1" customWidth="1"/>
    <col min="20" max="20" width="12" style="47" customWidth="1"/>
    <col min="21" max="21" width="15" style="47" customWidth="1"/>
    <col min="22" max="22" width="19" style="47" customWidth="1"/>
    <col min="23" max="23" width="16.7109375" style="47" customWidth="1"/>
    <col min="24" max="24" width="13.5703125" style="47" customWidth="1"/>
    <col min="25" max="25" width="19.28515625" style="47" customWidth="1"/>
    <col min="26" max="26" width="19" style="47" customWidth="1"/>
    <col min="27" max="27" width="18.7109375" style="47" customWidth="1"/>
    <col min="28" max="28" width="18.42578125" style="47" customWidth="1"/>
    <col min="29" max="29" width="27" style="47" hidden="1" customWidth="1"/>
    <col min="30" max="30" width="14.7109375" style="47" hidden="1" customWidth="1"/>
    <col min="31" max="31" width="28.7109375" style="47" hidden="1" customWidth="1"/>
    <col min="32" max="32" width="11.140625" style="47" hidden="1" customWidth="1"/>
    <col min="33" max="33" width="42.28515625" style="47" hidden="1" customWidth="1"/>
    <col min="34" max="34" width="14.7109375" style="47" hidden="1" customWidth="1"/>
    <col min="35" max="35" width="9.140625" style="47" hidden="1" customWidth="1"/>
    <col min="36" max="43" width="9.140625" style="47" customWidth="1"/>
    <col min="44" max="44" width="10.28515625" style="47" bestFit="1" customWidth="1"/>
    <col min="45" max="16384" width="9.140625" style="47"/>
  </cols>
  <sheetData>
    <row r="1" spans="1:43" s="4" customFormat="1" ht="106.5" customHeight="1">
      <c r="A1" s="1"/>
      <c r="B1" s="2"/>
      <c r="C1" s="2"/>
      <c r="D1" s="2"/>
      <c r="E1" s="2"/>
      <c r="F1" s="2"/>
      <c r="G1" s="3"/>
      <c r="H1" s="5"/>
      <c r="I1" s="5"/>
      <c r="J1" s="5"/>
      <c r="K1" s="5"/>
      <c r="L1" s="2"/>
      <c r="M1" s="6"/>
      <c r="N1" s="6"/>
      <c r="O1" s="6"/>
      <c r="P1" s="6"/>
      <c r="Q1" s="2"/>
      <c r="R1" s="6"/>
      <c r="S1" s="6"/>
      <c r="U1" s="93"/>
      <c r="V1" s="93"/>
      <c r="W1" s="93"/>
      <c r="X1" s="125" t="s">
        <v>161</v>
      </c>
      <c r="Y1" s="125"/>
      <c r="Z1" s="125"/>
      <c r="AA1" s="125"/>
      <c r="AB1" s="125"/>
      <c r="AC1" s="7"/>
      <c r="AD1" s="7"/>
      <c r="AE1" s="7"/>
      <c r="AF1" s="7"/>
      <c r="AG1" s="7"/>
    </row>
    <row r="2" spans="1:43" s="4" customFormat="1" ht="19.899999999999999" customHeight="1">
      <c r="A2" s="1"/>
      <c r="B2" s="2"/>
      <c r="C2" s="2"/>
      <c r="D2" s="2"/>
      <c r="E2" s="2"/>
      <c r="F2" s="2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8"/>
      <c r="AD2" s="8"/>
    </row>
    <row r="3" spans="1:43" s="4" customFormat="1" ht="61.5" customHeight="1">
      <c r="A3" s="125" t="s">
        <v>130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8"/>
      <c r="AD3" s="8"/>
    </row>
    <row r="4" spans="1:43" s="4" customFormat="1" ht="28.5" customHeight="1" thickBo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8"/>
      <c r="AD4" s="8"/>
    </row>
    <row r="5" spans="1:43" s="4" customFormat="1" ht="34.5" customHeight="1">
      <c r="A5" s="126" t="s">
        <v>1</v>
      </c>
      <c r="B5" s="129" t="s">
        <v>2</v>
      </c>
      <c r="C5" s="129" t="s">
        <v>82</v>
      </c>
      <c r="D5" s="129" t="s">
        <v>81</v>
      </c>
      <c r="E5" s="132" t="s">
        <v>87</v>
      </c>
      <c r="F5" s="132"/>
      <c r="G5" s="132"/>
      <c r="H5" s="134" t="s">
        <v>3</v>
      </c>
      <c r="I5" s="134"/>
      <c r="J5" s="134"/>
      <c r="K5" s="134"/>
      <c r="L5" s="134" t="s">
        <v>4</v>
      </c>
      <c r="M5" s="134"/>
      <c r="N5" s="134"/>
      <c r="O5" s="134"/>
      <c r="P5" s="134" t="s">
        <v>5</v>
      </c>
      <c r="Q5" s="134"/>
      <c r="R5" s="134"/>
      <c r="S5" s="134"/>
      <c r="T5" s="135" t="s">
        <v>86</v>
      </c>
      <c r="U5" s="136"/>
      <c r="V5" s="136"/>
      <c r="W5" s="136"/>
      <c r="X5" s="136"/>
      <c r="Y5" s="136"/>
      <c r="Z5" s="136"/>
      <c r="AA5" s="136"/>
      <c r="AB5" s="137"/>
      <c r="AC5" s="9"/>
      <c r="AD5" s="9"/>
      <c r="AE5" s="10"/>
      <c r="AF5" s="10"/>
      <c r="AG5" s="10"/>
      <c r="AH5" s="10"/>
      <c r="AI5" s="10"/>
      <c r="AJ5" s="10"/>
      <c r="AK5" s="10"/>
      <c r="AL5" s="10"/>
      <c r="AM5" s="10"/>
    </row>
    <row r="6" spans="1:43" s="4" customFormat="1" ht="29.25" customHeight="1">
      <c r="A6" s="127"/>
      <c r="B6" s="130"/>
      <c r="C6" s="130"/>
      <c r="D6" s="130"/>
      <c r="E6" s="133"/>
      <c r="F6" s="133"/>
      <c r="G6" s="133"/>
      <c r="H6" s="138" t="s">
        <v>8</v>
      </c>
      <c r="I6" s="140" t="s">
        <v>9</v>
      </c>
      <c r="J6" s="140"/>
      <c r="K6" s="140"/>
      <c r="L6" s="138" t="s">
        <v>8</v>
      </c>
      <c r="M6" s="140" t="s">
        <v>9</v>
      </c>
      <c r="N6" s="140"/>
      <c r="O6" s="140"/>
      <c r="P6" s="138" t="s">
        <v>8</v>
      </c>
      <c r="Q6" s="140" t="s">
        <v>9</v>
      </c>
      <c r="R6" s="140"/>
      <c r="S6" s="140"/>
      <c r="T6" s="133" t="s">
        <v>6</v>
      </c>
      <c r="U6" s="133"/>
      <c r="V6" s="133"/>
      <c r="W6" s="133" t="s">
        <v>7</v>
      </c>
      <c r="X6" s="133"/>
      <c r="Y6" s="141"/>
      <c r="Z6" s="133" t="s">
        <v>85</v>
      </c>
      <c r="AA6" s="133"/>
      <c r="AB6" s="142"/>
      <c r="AC6" s="9"/>
      <c r="AD6" s="11"/>
      <c r="AE6" s="10"/>
      <c r="AF6" s="10"/>
      <c r="AG6" s="10"/>
      <c r="AH6" s="10"/>
      <c r="AI6" s="10"/>
      <c r="AJ6" s="10"/>
      <c r="AK6" s="10"/>
      <c r="AL6" s="10"/>
      <c r="AM6" s="10"/>
    </row>
    <row r="7" spans="1:43" s="4" customFormat="1" ht="33.75" customHeight="1">
      <c r="A7" s="127"/>
      <c r="B7" s="130"/>
      <c r="C7" s="130"/>
      <c r="D7" s="130"/>
      <c r="E7" s="133" t="s">
        <v>83</v>
      </c>
      <c r="F7" s="133"/>
      <c r="G7" s="146" t="s">
        <v>9</v>
      </c>
      <c r="H7" s="138"/>
      <c r="I7" s="140" t="s">
        <v>10</v>
      </c>
      <c r="J7" s="140" t="s">
        <v>11</v>
      </c>
      <c r="K7" s="140"/>
      <c r="L7" s="138"/>
      <c r="M7" s="140" t="s">
        <v>10</v>
      </c>
      <c r="N7" s="140" t="s">
        <v>11</v>
      </c>
      <c r="O7" s="140"/>
      <c r="P7" s="138"/>
      <c r="Q7" s="140" t="s">
        <v>10</v>
      </c>
      <c r="R7" s="140" t="s">
        <v>11</v>
      </c>
      <c r="S7" s="140"/>
      <c r="T7" s="133" t="s">
        <v>83</v>
      </c>
      <c r="U7" s="133"/>
      <c r="V7" s="146" t="s">
        <v>9</v>
      </c>
      <c r="W7" s="133" t="s">
        <v>83</v>
      </c>
      <c r="X7" s="133"/>
      <c r="Y7" s="155" t="s">
        <v>9</v>
      </c>
      <c r="Z7" s="133" t="s">
        <v>83</v>
      </c>
      <c r="AA7" s="133"/>
      <c r="AB7" s="147" t="s">
        <v>9</v>
      </c>
      <c r="AC7" s="9"/>
      <c r="AD7" s="9"/>
      <c r="AE7" s="10"/>
      <c r="AF7" s="10"/>
      <c r="AG7" s="10"/>
      <c r="AH7" s="10"/>
      <c r="AI7" s="10"/>
      <c r="AJ7" s="10"/>
      <c r="AK7" s="10"/>
      <c r="AL7" s="10"/>
      <c r="AM7" s="10"/>
    </row>
    <row r="8" spans="1:43" s="4" customFormat="1" ht="43.5" customHeight="1">
      <c r="A8" s="128"/>
      <c r="B8" s="131"/>
      <c r="C8" s="131"/>
      <c r="D8" s="130"/>
      <c r="E8" s="51" t="s">
        <v>8</v>
      </c>
      <c r="F8" s="51" t="s">
        <v>84</v>
      </c>
      <c r="G8" s="154"/>
      <c r="H8" s="139"/>
      <c r="I8" s="153"/>
      <c r="J8" s="119" t="s">
        <v>12</v>
      </c>
      <c r="K8" s="119" t="s">
        <v>13</v>
      </c>
      <c r="L8" s="139"/>
      <c r="M8" s="153"/>
      <c r="N8" s="119" t="s">
        <v>12</v>
      </c>
      <c r="O8" s="119" t="s">
        <v>13</v>
      </c>
      <c r="P8" s="139"/>
      <c r="Q8" s="153"/>
      <c r="R8" s="119" t="s">
        <v>12</v>
      </c>
      <c r="S8" s="119" t="s">
        <v>14</v>
      </c>
      <c r="T8" s="51" t="s">
        <v>8</v>
      </c>
      <c r="U8" s="51" t="s">
        <v>84</v>
      </c>
      <c r="V8" s="154"/>
      <c r="W8" s="51" t="s">
        <v>8</v>
      </c>
      <c r="X8" s="51" t="s">
        <v>84</v>
      </c>
      <c r="Y8" s="156"/>
      <c r="Z8" s="51" t="s">
        <v>8</v>
      </c>
      <c r="AA8" s="51" t="s">
        <v>84</v>
      </c>
      <c r="AB8" s="148"/>
      <c r="AC8" s="12"/>
      <c r="AD8" s="9"/>
      <c r="AE8" s="10"/>
      <c r="AF8" s="10"/>
      <c r="AG8" s="10"/>
      <c r="AH8" s="10"/>
      <c r="AI8" s="10"/>
      <c r="AJ8" s="10"/>
      <c r="AK8" s="10"/>
      <c r="AL8" s="10"/>
      <c r="AM8" s="10"/>
    </row>
    <row r="9" spans="1:43" s="4" customFormat="1" ht="32.25" customHeight="1" thickBot="1">
      <c r="A9" s="79">
        <v>1</v>
      </c>
      <c r="B9" s="80">
        <v>2</v>
      </c>
      <c r="C9" s="80">
        <v>3</v>
      </c>
      <c r="D9" s="81"/>
      <c r="E9" s="80">
        <v>4</v>
      </c>
      <c r="F9" s="80">
        <v>5</v>
      </c>
      <c r="G9" s="80">
        <v>6</v>
      </c>
      <c r="H9" s="80">
        <v>7</v>
      </c>
      <c r="I9" s="80"/>
      <c r="J9" s="80"/>
      <c r="K9" s="80"/>
      <c r="L9" s="80"/>
      <c r="M9" s="80"/>
      <c r="N9" s="80"/>
      <c r="O9" s="80"/>
      <c r="P9" s="80"/>
      <c r="Q9" s="80">
        <v>6</v>
      </c>
      <c r="R9" s="80">
        <v>7</v>
      </c>
      <c r="S9" s="80">
        <v>8</v>
      </c>
      <c r="T9" s="80">
        <v>7</v>
      </c>
      <c r="U9" s="80">
        <v>8</v>
      </c>
      <c r="V9" s="80">
        <v>9</v>
      </c>
      <c r="W9" s="80">
        <v>10</v>
      </c>
      <c r="X9" s="80">
        <v>11</v>
      </c>
      <c r="Y9" s="84">
        <v>12</v>
      </c>
      <c r="Z9" s="80">
        <v>13</v>
      </c>
      <c r="AA9" s="80">
        <v>14</v>
      </c>
      <c r="AB9" s="82">
        <v>15</v>
      </c>
      <c r="AC9" s="12"/>
      <c r="AD9" s="9"/>
      <c r="AE9" s="10"/>
      <c r="AF9" s="10"/>
      <c r="AG9" s="10"/>
      <c r="AH9" s="10"/>
      <c r="AI9" s="10"/>
      <c r="AJ9" s="10"/>
      <c r="AK9" s="10" t="s">
        <v>0</v>
      </c>
      <c r="AL9" s="10"/>
      <c r="AM9" s="10"/>
    </row>
    <row r="10" spans="1:43" s="4" customFormat="1" ht="40.5" customHeight="1">
      <c r="A10" s="149" t="s">
        <v>89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92"/>
      <c r="AA10" s="92"/>
      <c r="AB10" s="94"/>
      <c r="AC10" s="12"/>
      <c r="AD10" s="9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43" s="4" customFormat="1" ht="33.75" customHeight="1">
      <c r="A11" s="64" t="s">
        <v>15</v>
      </c>
      <c r="B11" s="151" t="s">
        <v>88</v>
      </c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52"/>
      <c r="AA11" s="25"/>
      <c r="AB11" s="95"/>
      <c r="AC11" s="12"/>
      <c r="AD11" s="9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43" s="23" customFormat="1" ht="49.5" customHeight="1">
      <c r="A12" s="64"/>
      <c r="B12" s="52" t="s">
        <v>90</v>
      </c>
      <c r="C12" s="25"/>
      <c r="D12" s="25"/>
      <c r="E12" s="13">
        <f>E17+E25+E29+E37+E41+E46+E51+E57+E61+E66+E69+E74+E78+E83+E86+E89+E95+E105+E110+E115+E118+E119</f>
        <v>236.38200000000001</v>
      </c>
      <c r="F12" s="13"/>
      <c r="G12" s="13">
        <f>G17+G25+G29+G37+G41+G46+G51+G57+G61+G66+G69+G74+G78+G83+G86+G89+G95+G105+G110+G115+G118+G119</f>
        <v>7885739.6733008986</v>
      </c>
      <c r="H12" s="13" t="e">
        <f>H17+H25+H29+H37+H41+H46+H51+H57+H61+H66+H69+H74+H78+H83+H86+H89+H95+H105+H110+H115+H118</f>
        <v>#REF!</v>
      </c>
      <c r="I12" s="15" t="e">
        <f>I17+I25+I29+I37+I41+I46+I51+I57+I61+I66+I69+I74+I78+I83+I86+I89+I95+I105+I110+I115+I118</f>
        <v>#REF!</v>
      </c>
      <c r="J12" s="15" t="e">
        <f>J17+J25+J29+J37+J41+J46+J51+J57+J61+J66+J69+J74+J78+J83+J86+J89+J95+J105+J110+J115+J118</f>
        <v>#REF!</v>
      </c>
      <c r="K12" s="25"/>
      <c r="L12" s="13" t="e">
        <f t="shared" ref="L12:T12" si="0">L17+L25+L29+L37+L41+L46+L51+L57+L61+L66+L69+L74+L78+L83+L86+L89+L95+L105+L110+L115+L118+L119</f>
        <v>#REF!</v>
      </c>
      <c r="M12" s="15" t="e">
        <f t="shared" si="0"/>
        <v>#REF!</v>
      </c>
      <c r="N12" s="15" t="e">
        <f t="shared" si="0"/>
        <v>#REF!</v>
      </c>
      <c r="O12" s="15" t="e">
        <f t="shared" si="0"/>
        <v>#REF!</v>
      </c>
      <c r="P12" s="13" t="e">
        <f t="shared" si="0"/>
        <v>#REF!</v>
      </c>
      <c r="Q12" s="13" t="e">
        <f t="shared" si="0"/>
        <v>#REF!</v>
      </c>
      <c r="R12" s="13" t="e">
        <f t="shared" si="0"/>
        <v>#REF!</v>
      </c>
      <c r="S12" s="13" t="e">
        <f t="shared" si="0"/>
        <v>#REF!</v>
      </c>
      <c r="T12" s="13">
        <f t="shared" si="0"/>
        <v>56.08</v>
      </c>
      <c r="U12" s="13"/>
      <c r="V12" s="13">
        <f>V17+V25+V29+V37+V41+V46+V51+V57+V61+V66+V69+V74+V78+V83+V86+V89+V95+V105+V110+V115+V118+V119</f>
        <v>825404.76652399998</v>
      </c>
      <c r="W12" s="13">
        <f>W17+W25+W29+W37+W41+W46+W51+W57+W61+W66+W69+W74+W78+W83+W86+W89+W95+W105+W110+W115+W118+W119</f>
        <v>86.094999999999999</v>
      </c>
      <c r="X12" s="13"/>
      <c r="Y12" s="85">
        <f>Y17+Y25+Y29+Y37+Y41+Y46+Y51+Y57+Y61+Y66+Y69+Y74+Y78+Y83+Y86+Y89+Y95+Y105+Y110+Y115+Y118+Y119</f>
        <v>3056038.3036492653</v>
      </c>
      <c r="Z12" s="13">
        <f>Z17+Z25+Z29+Z37+Z41+Z46+Z51+Z57+Z61+Z66+Z69+Z74+Z78+Z83+Z86+Z89+Z95+Z105+Z110+Z115+Z118+Z119</f>
        <v>94.206999999999994</v>
      </c>
      <c r="AA12" s="13"/>
      <c r="AB12" s="65">
        <f>AB17+AB25+AB29+AB37+AB41+AB46+AB51+AB57+AB61+AB66+AB69+AB74+AB78+AB83+AB86+AB89+AB95+AB105+AB110+AB115+AB118+AB119</f>
        <v>3159039.9999976321</v>
      </c>
      <c r="AC12" s="78">
        <v>121.8</v>
      </c>
      <c r="AD12" s="13"/>
      <c r="AE12" s="65">
        <v>3159040</v>
      </c>
      <c r="AF12" s="110">
        <f>T12+W12+Z12</f>
        <v>236.38200000000001</v>
      </c>
      <c r="AG12" s="100">
        <f>V12+Y12+AB12</f>
        <v>7040483.070170898</v>
      </c>
    </row>
    <row r="13" spans="1:43" s="23" customFormat="1" ht="30" customHeight="1">
      <c r="A13" s="145" t="s">
        <v>16</v>
      </c>
      <c r="B13" s="146"/>
      <c r="C13" s="146"/>
      <c r="D13" s="146"/>
      <c r="E13" s="146"/>
      <c r="F13" s="118"/>
      <c r="G13" s="13"/>
      <c r="H13" s="33"/>
      <c r="I13" s="34"/>
      <c r="J13" s="33"/>
      <c r="K13" s="33"/>
      <c r="L13" s="33"/>
      <c r="M13" s="33"/>
      <c r="N13" s="33"/>
      <c r="O13" s="33"/>
      <c r="P13" s="35"/>
      <c r="Q13" s="33"/>
      <c r="R13" s="33"/>
      <c r="S13" s="33"/>
      <c r="T13" s="33"/>
      <c r="U13" s="35"/>
      <c r="V13" s="35"/>
      <c r="W13" s="35"/>
      <c r="X13" s="33"/>
      <c r="Y13" s="86">
        <v>34185.22</v>
      </c>
      <c r="Z13" s="19"/>
      <c r="AA13" s="35"/>
      <c r="AB13" s="67"/>
      <c r="AC13" s="99">
        <f>AC12-Z12</f>
        <v>27.593000000000004</v>
      </c>
      <c r="AD13" s="8"/>
      <c r="AE13" s="113">
        <f>AE12-AB12</f>
        <v>2.3678876459598541E-6</v>
      </c>
      <c r="AF13" s="100">
        <f>AF17+AF25+AF29+AF37+AF41+AF46+AF51+AF57+AF61+AF69+AF83+AF86+AF89+AF95+AF105+AF110+AF115+AF118+AF119</f>
        <v>236.38200000000001</v>
      </c>
      <c r="AG13" s="100">
        <f>SUM(AG15:AG108)</f>
        <v>845256.60312999994</v>
      </c>
    </row>
    <row r="14" spans="1:43" s="23" customFormat="1" ht="69.75" customHeight="1">
      <c r="A14" s="66">
        <v>1</v>
      </c>
      <c r="B14" s="16" t="s">
        <v>71</v>
      </c>
      <c r="C14" s="17" t="s">
        <v>17</v>
      </c>
      <c r="D14" s="17"/>
      <c r="E14" s="20">
        <f>(0.14-0.02)+(5.4-0.31)</f>
        <v>5.2100000000000009</v>
      </c>
      <c r="F14" s="20"/>
      <c r="G14" s="19">
        <v>143258.97261999999</v>
      </c>
      <c r="H14" s="27"/>
      <c r="I14" s="15"/>
      <c r="J14" s="15"/>
      <c r="K14" s="15"/>
      <c r="L14" s="27"/>
      <c r="M14" s="28"/>
      <c r="N14" s="22"/>
      <c r="O14" s="22"/>
      <c r="P14" s="20"/>
      <c r="Q14" s="22"/>
      <c r="R14" s="24"/>
      <c r="S14" s="22"/>
      <c r="T14" s="20">
        <f>E14</f>
        <v>5.2100000000000009</v>
      </c>
      <c r="U14" s="19"/>
      <c r="V14" s="19">
        <f>G14</f>
        <v>143258.97261999999</v>
      </c>
      <c r="W14" s="19"/>
      <c r="X14" s="20"/>
      <c r="Y14" s="87"/>
      <c r="Z14" s="13"/>
      <c r="AA14" s="19"/>
      <c r="AB14" s="67"/>
      <c r="AC14" s="36"/>
      <c r="AD14" s="8"/>
      <c r="AQ14" s="23" t="s">
        <v>21</v>
      </c>
    </row>
    <row r="15" spans="1:43" s="23" customFormat="1" ht="46.5" customHeight="1">
      <c r="A15" s="66">
        <v>2</v>
      </c>
      <c r="B15" s="16" t="s">
        <v>46</v>
      </c>
      <c r="C15" s="17" t="s">
        <v>17</v>
      </c>
      <c r="D15" s="17"/>
      <c r="E15" s="20">
        <v>7.06</v>
      </c>
      <c r="F15" s="20"/>
      <c r="G15" s="19">
        <v>245000</v>
      </c>
      <c r="H15" s="27"/>
      <c r="I15" s="15"/>
      <c r="J15" s="15"/>
      <c r="K15" s="15"/>
      <c r="L15" s="27"/>
      <c r="M15" s="28"/>
      <c r="N15" s="22"/>
      <c r="O15" s="22"/>
      <c r="P15" s="20"/>
      <c r="Q15" s="22"/>
      <c r="R15" s="24"/>
      <c r="S15" s="22"/>
      <c r="T15" s="20"/>
      <c r="U15" s="19"/>
      <c r="V15" s="19"/>
      <c r="W15" s="20"/>
      <c r="X15" s="20"/>
      <c r="Y15" s="87">
        <v>120000</v>
      </c>
      <c r="Z15" s="20">
        <f>E15</f>
        <v>7.06</v>
      </c>
      <c r="AA15" s="19"/>
      <c r="AB15" s="67">
        <f>G15-Y15</f>
        <v>125000</v>
      </c>
      <c r="AC15" s="36"/>
      <c r="AD15" s="8"/>
      <c r="AK15" s="23" t="s">
        <v>19</v>
      </c>
    </row>
    <row r="16" spans="1:43" s="23" customFormat="1" ht="45.75" hidden="1" customHeight="1" thickBot="1">
      <c r="A16" s="66">
        <v>4</v>
      </c>
      <c r="B16" s="16" t="s">
        <v>47</v>
      </c>
      <c r="C16" s="17" t="s">
        <v>17</v>
      </c>
      <c r="D16" s="17"/>
      <c r="E16" s="20"/>
      <c r="F16" s="20"/>
      <c r="G16" s="19"/>
      <c r="H16" s="27"/>
      <c r="I16" s="15"/>
      <c r="J16" s="15"/>
      <c r="K16" s="15"/>
      <c r="L16" s="27"/>
      <c r="M16" s="28"/>
      <c r="N16" s="22"/>
      <c r="O16" s="22"/>
      <c r="P16" s="20"/>
      <c r="Q16" s="22"/>
      <c r="R16" s="24"/>
      <c r="S16" s="22"/>
      <c r="T16" s="20"/>
      <c r="U16" s="19"/>
      <c r="V16" s="19"/>
      <c r="W16" s="19"/>
      <c r="X16" s="20"/>
      <c r="Y16" s="87"/>
      <c r="Z16" s="13"/>
      <c r="AA16" s="19"/>
      <c r="AB16" s="67"/>
      <c r="AC16" s="36"/>
      <c r="AD16" s="8"/>
    </row>
    <row r="17" spans="1:42" s="23" customFormat="1" ht="30.75" customHeight="1">
      <c r="A17" s="143" t="s">
        <v>112</v>
      </c>
      <c r="B17" s="144"/>
      <c r="C17" s="144"/>
      <c r="D17" s="116"/>
      <c r="E17" s="14">
        <f>SUM(E14:E16)</f>
        <v>12.27</v>
      </c>
      <c r="F17" s="14"/>
      <c r="G17" s="13">
        <f>SUM(G14:G16)</f>
        <v>388258.97262000002</v>
      </c>
      <c r="H17" s="14"/>
      <c r="I17" s="15"/>
      <c r="J17" s="15"/>
      <c r="K17" s="15"/>
      <c r="L17" s="14" t="e">
        <f>SUM(#REF!)</f>
        <v>#REF!</v>
      </c>
      <c r="M17" s="15" t="e">
        <f>SUM(#REF!)</f>
        <v>#REF!</v>
      </c>
      <c r="N17" s="15" t="e">
        <f>SUM(#REF!)</f>
        <v>#REF!</v>
      </c>
      <c r="O17" s="15" t="e">
        <f>SUM(#REF!)</f>
        <v>#REF!</v>
      </c>
      <c r="P17" s="14">
        <f>SUM(P14:P16)</f>
        <v>0</v>
      </c>
      <c r="Q17" s="13">
        <f>SUM(Q14:Q16)</f>
        <v>0</v>
      </c>
      <c r="R17" s="13">
        <f>SUM(R14:R16)</f>
        <v>0</v>
      </c>
      <c r="S17" s="15">
        <f>SUM(S14:S16)</f>
        <v>0</v>
      </c>
      <c r="T17" s="14">
        <f>SUM(T14:T16)</f>
        <v>5.2100000000000009</v>
      </c>
      <c r="U17" s="13"/>
      <c r="V17" s="13">
        <f>SUM(V14:V16)</f>
        <v>143258.97261999999</v>
      </c>
      <c r="W17" s="13">
        <f>SUM(W14:W16)</f>
        <v>0</v>
      </c>
      <c r="X17" s="13"/>
      <c r="Y17" s="85">
        <f>SUM(Y14:Y16)</f>
        <v>120000</v>
      </c>
      <c r="Z17" s="13">
        <f>SUM(Z14:Z16)</f>
        <v>7.06</v>
      </c>
      <c r="AA17" s="13"/>
      <c r="AB17" s="83">
        <f>SUM(AB14:AB16)</f>
        <v>125000</v>
      </c>
      <c r="AC17" s="8"/>
      <c r="AD17" s="8"/>
      <c r="AF17" s="110">
        <f>T17+W17+Z17</f>
        <v>12.27</v>
      </c>
      <c r="AL17" s="23" t="s">
        <v>0</v>
      </c>
    </row>
    <row r="18" spans="1:42" s="23" customFormat="1" ht="31.5" customHeight="1">
      <c r="A18" s="145" t="s">
        <v>18</v>
      </c>
      <c r="B18" s="146"/>
      <c r="C18" s="146"/>
      <c r="D18" s="146"/>
      <c r="E18" s="146"/>
      <c r="F18" s="118"/>
      <c r="G18" s="13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9"/>
      <c r="V18" s="19"/>
      <c r="W18" s="19"/>
      <c r="X18" s="17"/>
      <c r="Y18" s="87"/>
      <c r="Z18" s="13"/>
      <c r="AA18" s="19"/>
      <c r="AB18" s="67"/>
      <c r="AC18" s="8"/>
      <c r="AD18" s="8"/>
      <c r="AP18" s="23" t="s">
        <v>0</v>
      </c>
    </row>
    <row r="19" spans="1:42" s="23" customFormat="1" ht="47.25" customHeight="1">
      <c r="A19" s="66">
        <v>3</v>
      </c>
      <c r="B19" s="16" t="s">
        <v>157</v>
      </c>
      <c r="C19" s="17" t="s">
        <v>17</v>
      </c>
      <c r="D19" s="17"/>
      <c r="E19" s="18">
        <f>10.75-6.51</f>
        <v>4.24</v>
      </c>
      <c r="F19" s="18"/>
      <c r="G19" s="19">
        <f>(78661.68*1.2)*1.073</f>
        <v>101284.77916799998</v>
      </c>
      <c r="H19" s="21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19"/>
      <c r="V19" s="19"/>
      <c r="W19" s="20">
        <f>E19</f>
        <v>4.24</v>
      </c>
      <c r="X19" s="22"/>
      <c r="Y19" s="87">
        <f>G19</f>
        <v>101284.77916799998</v>
      </c>
      <c r="Z19" s="13"/>
      <c r="AA19" s="19"/>
      <c r="AB19" s="67"/>
      <c r="AC19" s="8"/>
      <c r="AD19" s="8"/>
    </row>
    <row r="20" spans="1:42" s="23" customFormat="1" ht="46.5" customHeight="1">
      <c r="A20" s="66">
        <v>4</v>
      </c>
      <c r="B20" s="16" t="s">
        <v>143</v>
      </c>
      <c r="C20" s="17" t="s">
        <v>17</v>
      </c>
      <c r="D20" s="17"/>
      <c r="E20" s="20">
        <f>13.8-10.75</f>
        <v>3.0500000000000007</v>
      </c>
      <c r="F20" s="18"/>
      <c r="G20" s="22">
        <v>76250.000000000015</v>
      </c>
      <c r="H20" s="21"/>
      <c r="I20" s="22"/>
      <c r="J20" s="22"/>
      <c r="K20" s="22"/>
      <c r="L20" s="20"/>
      <c r="M20" s="22"/>
      <c r="N20" s="22"/>
      <c r="O20" s="22"/>
      <c r="P20" s="20"/>
      <c r="Q20" s="22"/>
      <c r="R20" s="22"/>
      <c r="S20" s="22"/>
      <c r="T20" s="20"/>
      <c r="U20" s="19"/>
      <c r="V20" s="19"/>
      <c r="W20" s="20">
        <f>E20</f>
        <v>3.0500000000000007</v>
      </c>
      <c r="X20" s="20"/>
      <c r="Y20" s="87">
        <f>G20</f>
        <v>76250.000000000015</v>
      </c>
      <c r="Z20" s="13"/>
      <c r="AA20" s="19"/>
      <c r="AB20" s="67"/>
      <c r="AC20" s="8"/>
      <c r="AD20" s="8"/>
      <c r="AL20" s="23" t="s">
        <v>144</v>
      </c>
    </row>
    <row r="21" spans="1:42" s="23" customFormat="1" ht="48.75" hidden="1" customHeight="1">
      <c r="A21" s="66"/>
      <c r="B21" s="16" t="s">
        <v>38</v>
      </c>
      <c r="C21" s="17" t="s">
        <v>20</v>
      </c>
      <c r="D21" s="17"/>
      <c r="E21" s="18"/>
      <c r="F21" s="18"/>
      <c r="G21" s="19"/>
      <c r="H21" s="21"/>
      <c r="I21" s="22"/>
      <c r="J21" s="22"/>
      <c r="K21" s="22"/>
      <c r="L21" s="20"/>
      <c r="M21" s="22"/>
      <c r="N21" s="22"/>
      <c r="O21" s="22"/>
      <c r="P21" s="20"/>
      <c r="Q21" s="22"/>
      <c r="R21" s="22"/>
      <c r="S21" s="22"/>
      <c r="T21" s="20"/>
      <c r="U21" s="19"/>
      <c r="V21" s="19"/>
      <c r="W21" s="19">
        <f>E21</f>
        <v>0</v>
      </c>
      <c r="X21" s="20"/>
      <c r="Y21" s="87"/>
      <c r="Z21" s="13"/>
      <c r="AA21" s="19" t="s">
        <v>21</v>
      </c>
      <c r="AB21" s="67"/>
      <c r="AC21" s="8"/>
      <c r="AD21" s="8"/>
    </row>
    <row r="22" spans="1:42" s="23" customFormat="1" ht="64.5" customHeight="1">
      <c r="A22" s="66">
        <v>5</v>
      </c>
      <c r="B22" s="16" t="s">
        <v>155</v>
      </c>
      <c r="C22" s="17" t="s">
        <v>20</v>
      </c>
      <c r="D22" s="17"/>
      <c r="E22" s="18">
        <v>4.5999999999999996</v>
      </c>
      <c r="F22" s="18"/>
      <c r="G22" s="98">
        <f>Y22+AB22</f>
        <v>409044.83523363195</v>
      </c>
      <c r="H22" s="21"/>
      <c r="I22" s="22"/>
      <c r="J22" s="22"/>
      <c r="K22" s="22"/>
      <c r="L22" s="20"/>
      <c r="M22" s="22"/>
      <c r="N22" s="22"/>
      <c r="O22" s="22"/>
      <c r="P22" s="20"/>
      <c r="Q22" s="22"/>
      <c r="R22" s="22"/>
      <c r="S22" s="22"/>
      <c r="T22" s="20"/>
      <c r="U22" s="19"/>
      <c r="V22" s="19"/>
      <c r="W22" s="20">
        <v>3</v>
      </c>
      <c r="X22" s="20"/>
      <c r="Y22" s="87">
        <f>(206502.71*1.2)*1.073+0.1106</f>
        <v>265892.99999599997</v>
      </c>
      <c r="Z22" s="20">
        <f>E22-W22</f>
        <v>1.5999999999999996</v>
      </c>
      <c r="AA22" s="19"/>
      <c r="AB22" s="67">
        <f>(105581.44*1.2)*1.073*1.053</f>
        <v>143151.83523763198</v>
      </c>
      <c r="AC22" s="8"/>
      <c r="AD22" s="8"/>
      <c r="AK22" s="23" t="s">
        <v>144</v>
      </c>
    </row>
    <row r="23" spans="1:42" s="23" customFormat="1" ht="43.5" hidden="1" customHeight="1">
      <c r="A23" s="66"/>
      <c r="B23" s="16" t="s">
        <v>99</v>
      </c>
      <c r="C23" s="17" t="s">
        <v>17</v>
      </c>
      <c r="D23" s="17"/>
      <c r="E23" s="61"/>
      <c r="F23" s="68"/>
      <c r="G23" s="18"/>
      <c r="H23" s="21"/>
      <c r="I23" s="22"/>
      <c r="J23" s="22"/>
      <c r="K23" s="22"/>
      <c r="L23" s="20"/>
      <c r="M23" s="22"/>
      <c r="N23" s="22"/>
      <c r="O23" s="22"/>
      <c r="P23" s="20"/>
      <c r="Q23" s="22"/>
      <c r="R23" s="22"/>
      <c r="S23" s="22"/>
      <c r="T23" s="20"/>
      <c r="U23" s="19"/>
      <c r="V23" s="19"/>
      <c r="W23" s="19">
        <f>E23</f>
        <v>0</v>
      </c>
      <c r="X23" s="20"/>
      <c r="Y23" s="87">
        <f>G23</f>
        <v>0</v>
      </c>
      <c r="Z23" s="13"/>
      <c r="AA23" s="19"/>
      <c r="AB23" s="67"/>
      <c r="AC23" s="8"/>
      <c r="AD23" s="8"/>
    </row>
    <row r="24" spans="1:42" s="23" customFormat="1" ht="43.5" customHeight="1">
      <c r="A24" s="66">
        <v>6</v>
      </c>
      <c r="B24" s="16" t="s">
        <v>160</v>
      </c>
      <c r="C24" s="17" t="s">
        <v>17</v>
      </c>
      <c r="D24" s="17"/>
      <c r="E24" s="18">
        <f>3.65-0.745</f>
        <v>2.9049999999999998</v>
      </c>
      <c r="F24" s="68"/>
      <c r="G24" s="98">
        <f>71266.47*1.2*1.073</f>
        <v>91762.70677199999</v>
      </c>
      <c r="H24" s="21"/>
      <c r="I24" s="22"/>
      <c r="J24" s="22"/>
      <c r="K24" s="22"/>
      <c r="L24" s="20"/>
      <c r="M24" s="22"/>
      <c r="N24" s="22"/>
      <c r="O24" s="22"/>
      <c r="P24" s="20"/>
      <c r="Q24" s="22"/>
      <c r="R24" s="22"/>
      <c r="S24" s="22"/>
      <c r="T24" s="20"/>
      <c r="U24" s="19"/>
      <c r="V24" s="19"/>
      <c r="W24" s="20">
        <f>E24</f>
        <v>2.9049999999999998</v>
      </c>
      <c r="X24" s="20"/>
      <c r="Y24" s="87">
        <f>G24</f>
        <v>91762.70677199999</v>
      </c>
      <c r="Z24" s="13"/>
      <c r="AA24" s="19"/>
      <c r="AB24" s="67"/>
      <c r="AC24" s="8"/>
      <c r="AD24" s="8"/>
    </row>
    <row r="25" spans="1:42" s="23" customFormat="1" ht="33.75" customHeight="1">
      <c r="A25" s="143" t="s">
        <v>113</v>
      </c>
      <c r="B25" s="144"/>
      <c r="C25" s="17"/>
      <c r="D25" s="17"/>
      <c r="E25" s="14">
        <f>SUM(E19:E24)</f>
        <v>14.795</v>
      </c>
      <c r="F25" s="14"/>
      <c r="G25" s="13">
        <f>SUM(G19:G24)</f>
        <v>678342.32117363194</v>
      </c>
      <c r="H25" s="14"/>
      <c r="I25" s="15"/>
      <c r="J25" s="15"/>
      <c r="K25" s="15"/>
      <c r="L25" s="14">
        <f>SUM(L19:L19)</f>
        <v>0</v>
      </c>
      <c r="M25" s="15">
        <f>SUM(M19:M19)</f>
        <v>0</v>
      </c>
      <c r="N25" s="15">
        <f>SUM(N19:N19)</f>
        <v>0</v>
      </c>
      <c r="O25" s="15"/>
      <c r="P25" s="14" t="e">
        <f>SUM(#REF!)</f>
        <v>#REF!</v>
      </c>
      <c r="Q25" s="15" t="e">
        <f>SUM(#REF!)</f>
        <v>#REF!</v>
      </c>
      <c r="R25" s="13" t="e">
        <f>SUM(#REF!)</f>
        <v>#REF!</v>
      </c>
      <c r="S25" s="15"/>
      <c r="T25" s="14"/>
      <c r="U25" s="13"/>
      <c r="V25" s="13">
        <f>SUM(V20:V22)</f>
        <v>0</v>
      </c>
      <c r="W25" s="13">
        <f>SUM(W19:W24)</f>
        <v>13.195</v>
      </c>
      <c r="X25" s="14"/>
      <c r="Y25" s="85">
        <f>SUM(Y19:Y24)</f>
        <v>535190.4859359999</v>
      </c>
      <c r="Z25" s="13">
        <f>SUM(Z20:Z23)</f>
        <v>1.5999999999999996</v>
      </c>
      <c r="AA25" s="14"/>
      <c r="AB25" s="65">
        <f>SUM(AB20:AB23)</f>
        <v>143151.83523763198</v>
      </c>
      <c r="AC25" s="8"/>
      <c r="AD25" s="8"/>
      <c r="AF25" s="110">
        <f>T25+W25+Z25</f>
        <v>14.795</v>
      </c>
    </row>
    <row r="26" spans="1:42" s="23" customFormat="1" ht="12" hidden="1" customHeight="1">
      <c r="A26" s="145" t="s">
        <v>22</v>
      </c>
      <c r="B26" s="146"/>
      <c r="C26" s="146"/>
      <c r="D26" s="146"/>
      <c r="E26" s="146"/>
      <c r="F26" s="118"/>
      <c r="G26" s="13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9"/>
      <c r="V26" s="19"/>
      <c r="W26" s="19"/>
      <c r="X26" s="17"/>
      <c r="Y26" s="87"/>
      <c r="Z26" s="13"/>
      <c r="AA26" s="19"/>
      <c r="AB26" s="67"/>
      <c r="AC26" s="8"/>
      <c r="AD26" s="8"/>
    </row>
    <row r="27" spans="1:42" s="23" customFormat="1" ht="12" hidden="1" customHeight="1">
      <c r="A27" s="66">
        <v>13</v>
      </c>
      <c r="B27" s="16" t="s">
        <v>74</v>
      </c>
      <c r="C27" s="17" t="s">
        <v>17</v>
      </c>
      <c r="D27" s="17"/>
      <c r="E27" s="18"/>
      <c r="F27" s="18"/>
      <c r="G27" s="19"/>
      <c r="H27" s="21"/>
      <c r="I27" s="22"/>
      <c r="J27" s="22"/>
      <c r="K27" s="22"/>
      <c r="L27" s="27"/>
      <c r="M27" s="28"/>
      <c r="N27" s="22"/>
      <c r="O27" s="22"/>
      <c r="P27" s="20"/>
      <c r="Q27" s="22"/>
      <c r="R27" s="22"/>
      <c r="S27" s="22"/>
      <c r="T27" s="20"/>
      <c r="U27" s="19"/>
      <c r="V27" s="19"/>
      <c r="W27" s="19">
        <f>E27</f>
        <v>0</v>
      </c>
      <c r="X27" s="20"/>
      <c r="Y27" s="87">
        <f>G27</f>
        <v>0</v>
      </c>
      <c r="Z27" s="13"/>
      <c r="AA27" s="19"/>
      <c r="AB27" s="67"/>
      <c r="AC27" s="8"/>
      <c r="AD27" s="8"/>
    </row>
    <row r="28" spans="1:42" s="23" customFormat="1" ht="12" hidden="1" customHeight="1">
      <c r="A28" s="69">
        <v>5</v>
      </c>
      <c r="B28" s="16" t="s">
        <v>145</v>
      </c>
      <c r="C28" s="17"/>
      <c r="D28" s="17"/>
      <c r="E28" s="18"/>
      <c r="F28" s="18"/>
      <c r="G28" s="19"/>
      <c r="H28" s="21"/>
      <c r="I28" s="22"/>
      <c r="J28" s="22"/>
      <c r="K28" s="22"/>
      <c r="L28" s="27"/>
      <c r="M28" s="28"/>
      <c r="N28" s="22"/>
      <c r="O28" s="22"/>
      <c r="P28" s="20"/>
      <c r="Q28" s="22"/>
      <c r="R28" s="22"/>
      <c r="S28" s="22"/>
      <c r="T28" s="20"/>
      <c r="U28" s="19"/>
      <c r="V28" s="19"/>
      <c r="W28" s="20">
        <f>E28</f>
        <v>0</v>
      </c>
      <c r="X28" s="20"/>
      <c r="Y28" s="87">
        <f>G28</f>
        <v>0</v>
      </c>
      <c r="Z28" s="13"/>
      <c r="AA28" s="19"/>
      <c r="AB28" s="67"/>
      <c r="AC28" s="8"/>
      <c r="AD28" s="8"/>
    </row>
    <row r="29" spans="1:42" s="23" customFormat="1" ht="12" hidden="1" customHeight="1">
      <c r="A29" s="157" t="s">
        <v>114</v>
      </c>
      <c r="B29" s="158"/>
      <c r="C29" s="17"/>
      <c r="D29" s="17"/>
      <c r="E29" s="14">
        <f>E28</f>
        <v>0</v>
      </c>
      <c r="F29" s="14"/>
      <c r="G29" s="13">
        <f>G28</f>
        <v>0</v>
      </c>
      <c r="H29" s="14" t="e">
        <f>SUM(#REF!)</f>
        <v>#REF!</v>
      </c>
      <c r="I29" s="15" t="e">
        <f>SUM(#REF!)</f>
        <v>#REF!</v>
      </c>
      <c r="J29" s="15" t="e">
        <f>SUM(#REF!)</f>
        <v>#REF!</v>
      </c>
      <c r="K29" s="15"/>
      <c r="L29" s="14" t="e">
        <f>SUM(#REF!)</f>
        <v>#REF!</v>
      </c>
      <c r="M29" s="15" t="e">
        <f>SUM(#REF!)</f>
        <v>#REF!</v>
      </c>
      <c r="N29" s="15" t="e">
        <f>SUM(#REF!)</f>
        <v>#REF!</v>
      </c>
      <c r="O29" s="15" t="e">
        <f>SUM(#REF!)</f>
        <v>#REF!</v>
      </c>
      <c r="P29" s="37" t="e">
        <f>SUM(#REF!)</f>
        <v>#REF!</v>
      </c>
      <c r="Q29" s="15" t="e">
        <f>SUM(#REF!)</f>
        <v>#REF!</v>
      </c>
      <c r="R29" s="15" t="e">
        <f>SUM(#REF!)</f>
        <v>#REF!</v>
      </c>
      <c r="S29" s="15"/>
      <c r="T29" s="14"/>
      <c r="U29" s="13"/>
      <c r="V29" s="13"/>
      <c r="W29" s="13">
        <f>W28</f>
        <v>0</v>
      </c>
      <c r="X29" s="14"/>
      <c r="Y29" s="85">
        <f>Y28</f>
        <v>0</v>
      </c>
      <c r="Z29" s="13"/>
      <c r="AA29" s="13"/>
      <c r="AB29" s="65"/>
      <c r="AC29" s="8"/>
      <c r="AD29" s="8"/>
      <c r="AF29" s="110">
        <f>T29+W29+Z29</f>
        <v>0</v>
      </c>
    </row>
    <row r="30" spans="1:42" s="23" customFormat="1" ht="32.25" customHeight="1">
      <c r="A30" s="145" t="s">
        <v>24</v>
      </c>
      <c r="B30" s="146"/>
      <c r="C30" s="146"/>
      <c r="D30" s="146"/>
      <c r="E30" s="146"/>
      <c r="F30" s="118"/>
      <c r="G30" s="13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9"/>
      <c r="V30" s="19"/>
      <c r="W30" s="19"/>
      <c r="X30" s="17"/>
      <c r="Y30" s="87"/>
      <c r="Z30" s="13"/>
      <c r="AA30" s="19"/>
      <c r="AB30" s="67"/>
      <c r="AC30" s="8"/>
      <c r="AD30" s="8"/>
    </row>
    <row r="31" spans="1:42" s="23" customFormat="1" ht="43.5" hidden="1" customHeight="1">
      <c r="A31" s="66"/>
      <c r="B31" s="16" t="s">
        <v>39</v>
      </c>
      <c r="C31" s="17" t="s">
        <v>29</v>
      </c>
      <c r="D31" s="17"/>
      <c r="E31" s="18"/>
      <c r="F31" s="18"/>
      <c r="G31" s="19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9"/>
      <c r="V31" s="19"/>
      <c r="W31" s="19"/>
      <c r="X31" s="29"/>
      <c r="Y31" s="88"/>
      <c r="Z31" s="13"/>
      <c r="AA31" s="19"/>
      <c r="AB31" s="67"/>
      <c r="AC31" s="8"/>
      <c r="AD31" s="8"/>
    </row>
    <row r="32" spans="1:42" s="23" customFormat="1" ht="45" hidden="1" customHeight="1">
      <c r="A32" s="66">
        <v>10</v>
      </c>
      <c r="B32" s="16" t="s">
        <v>48</v>
      </c>
      <c r="C32" s="17" t="s">
        <v>17</v>
      </c>
      <c r="D32" s="17"/>
      <c r="E32" s="20"/>
      <c r="F32" s="20"/>
      <c r="G32" s="19"/>
      <c r="H32" s="21"/>
      <c r="I32" s="22"/>
      <c r="J32" s="22"/>
      <c r="K32" s="22"/>
      <c r="L32" s="20"/>
      <c r="M32" s="22"/>
      <c r="N32" s="22"/>
      <c r="O32" s="22"/>
      <c r="P32" s="20"/>
      <c r="Q32" s="22"/>
      <c r="R32" s="22"/>
      <c r="S32" s="22"/>
      <c r="T32" s="20"/>
      <c r="U32" s="19"/>
      <c r="V32" s="19"/>
      <c r="W32" s="19"/>
      <c r="X32" s="20"/>
      <c r="Y32" s="87"/>
      <c r="Z32" s="13"/>
      <c r="AA32" s="19"/>
      <c r="AB32" s="67"/>
      <c r="AC32" s="8"/>
      <c r="AD32" s="8"/>
    </row>
    <row r="33" spans="1:33" s="23" customFormat="1" ht="45" hidden="1" customHeight="1">
      <c r="A33" s="66">
        <v>9</v>
      </c>
      <c r="B33" s="16" t="s">
        <v>40</v>
      </c>
      <c r="C33" s="17" t="s">
        <v>29</v>
      </c>
      <c r="D33" s="17"/>
      <c r="E33" s="18"/>
      <c r="F33" s="18"/>
      <c r="G33" s="19"/>
      <c r="H33" s="21"/>
      <c r="I33" s="22"/>
      <c r="J33" s="22"/>
      <c r="K33" s="22"/>
      <c r="L33" s="20"/>
      <c r="M33" s="22"/>
      <c r="N33" s="22"/>
      <c r="O33" s="22"/>
      <c r="P33" s="20"/>
      <c r="Q33" s="22"/>
      <c r="R33" s="22"/>
      <c r="S33" s="22"/>
      <c r="T33" s="20"/>
      <c r="U33" s="19"/>
      <c r="V33" s="19"/>
      <c r="W33" s="18">
        <f>E33</f>
        <v>0</v>
      </c>
      <c r="X33" s="20"/>
      <c r="Y33" s="87">
        <f>G33</f>
        <v>0</v>
      </c>
      <c r="Z33" s="13"/>
      <c r="AA33" s="19"/>
      <c r="AB33" s="67"/>
      <c r="AC33" s="8"/>
      <c r="AD33" s="8"/>
    </row>
    <row r="34" spans="1:33" s="23" customFormat="1" ht="46.5" customHeight="1">
      <c r="A34" s="66">
        <v>7</v>
      </c>
      <c r="B34" s="16" t="s">
        <v>146</v>
      </c>
      <c r="C34" s="17" t="s">
        <v>17</v>
      </c>
      <c r="D34" s="62">
        <v>4.8</v>
      </c>
      <c r="E34" s="18">
        <f>5-0.02</f>
        <v>4.9800000000000004</v>
      </c>
      <c r="F34" s="18"/>
      <c r="G34" s="98">
        <f>(96846.75*1.2)*1.073+0.1247</f>
        <v>124699.99999999999</v>
      </c>
      <c r="H34" s="21"/>
      <c r="I34" s="22"/>
      <c r="J34" s="22"/>
      <c r="K34" s="22"/>
      <c r="L34" s="20"/>
      <c r="M34" s="22"/>
      <c r="N34" s="22"/>
      <c r="O34" s="22"/>
      <c r="P34" s="20"/>
      <c r="Q34" s="22"/>
      <c r="R34" s="22"/>
      <c r="S34" s="22"/>
      <c r="T34" s="20"/>
      <c r="U34" s="19"/>
      <c r="V34" s="19"/>
      <c r="W34" s="18">
        <f>E34</f>
        <v>4.9800000000000004</v>
      </c>
      <c r="X34" s="20"/>
      <c r="Y34" s="87">
        <f>G34</f>
        <v>124699.99999999999</v>
      </c>
      <c r="Z34" s="13"/>
      <c r="AA34" s="19"/>
      <c r="AB34" s="67"/>
      <c r="AC34" s="8"/>
      <c r="AD34" s="8"/>
    </row>
    <row r="35" spans="1:33" s="23" customFormat="1" ht="45.75" hidden="1" customHeight="1">
      <c r="A35" s="66">
        <v>11</v>
      </c>
      <c r="B35" s="16" t="s">
        <v>95</v>
      </c>
      <c r="C35" s="17" t="s">
        <v>17</v>
      </c>
      <c r="D35" s="17"/>
      <c r="E35" s="18"/>
      <c r="F35" s="18"/>
      <c r="G35" s="19"/>
      <c r="H35" s="21"/>
      <c r="I35" s="22"/>
      <c r="J35" s="22"/>
      <c r="K35" s="22"/>
      <c r="L35" s="20"/>
      <c r="M35" s="22"/>
      <c r="N35" s="22"/>
      <c r="O35" s="22"/>
      <c r="P35" s="20"/>
      <c r="Q35" s="22"/>
      <c r="R35" s="22"/>
      <c r="S35" s="22"/>
      <c r="T35" s="20"/>
      <c r="U35" s="19"/>
      <c r="V35" s="19"/>
      <c r="W35" s="18">
        <f t="shared" ref="W35:W36" si="1">E35</f>
        <v>0</v>
      </c>
      <c r="X35" s="20"/>
      <c r="Y35" s="87">
        <f t="shared" ref="Y35:Y36" si="2">G35</f>
        <v>0</v>
      </c>
      <c r="Z35" s="13"/>
      <c r="AA35" s="19"/>
      <c r="AB35" s="67"/>
      <c r="AC35" s="8"/>
      <c r="AD35" s="8"/>
    </row>
    <row r="36" spans="1:33" s="23" customFormat="1" ht="3.75" hidden="1" customHeight="1">
      <c r="A36" s="66">
        <v>12</v>
      </c>
      <c r="B36" s="16" t="s">
        <v>73</v>
      </c>
      <c r="C36" s="17" t="s">
        <v>17</v>
      </c>
      <c r="D36" s="17"/>
      <c r="E36" s="18"/>
      <c r="F36" s="18"/>
      <c r="G36" s="19"/>
      <c r="H36" s="21"/>
      <c r="I36" s="22"/>
      <c r="J36" s="22"/>
      <c r="K36" s="22"/>
      <c r="L36" s="20"/>
      <c r="M36" s="22"/>
      <c r="N36" s="22"/>
      <c r="O36" s="22"/>
      <c r="P36" s="20"/>
      <c r="Q36" s="22"/>
      <c r="R36" s="22"/>
      <c r="S36" s="22"/>
      <c r="T36" s="20"/>
      <c r="U36" s="19"/>
      <c r="V36" s="19"/>
      <c r="W36" s="18">
        <f t="shared" si="1"/>
        <v>0</v>
      </c>
      <c r="X36" s="20"/>
      <c r="Y36" s="87">
        <f t="shared" si="2"/>
        <v>0</v>
      </c>
      <c r="Z36" s="13"/>
      <c r="AA36" s="19"/>
      <c r="AB36" s="67"/>
      <c r="AC36" s="8"/>
      <c r="AD36" s="8"/>
    </row>
    <row r="37" spans="1:33" s="23" customFormat="1" ht="35.25" customHeight="1">
      <c r="A37" s="143" t="s">
        <v>115</v>
      </c>
      <c r="B37" s="144"/>
      <c r="C37" s="17"/>
      <c r="D37" s="17"/>
      <c r="E37" s="14">
        <f>SUM(E31:E36)</f>
        <v>4.9800000000000004</v>
      </c>
      <c r="F37" s="14"/>
      <c r="G37" s="13">
        <f>SUM(G31:G36)</f>
        <v>124699.99999999999</v>
      </c>
      <c r="H37" s="14" t="e">
        <f>SUM(#REF!)</f>
        <v>#REF!</v>
      </c>
      <c r="I37" s="15" t="e">
        <f>SUM(#REF!)</f>
        <v>#REF!</v>
      </c>
      <c r="J37" s="15" t="e">
        <f>SUM(#REF!)</f>
        <v>#REF!</v>
      </c>
      <c r="K37" s="15"/>
      <c r="L37" s="14" t="e">
        <f>SUM(#REF!)</f>
        <v>#REF!</v>
      </c>
      <c r="M37" s="15"/>
      <c r="N37" s="15"/>
      <c r="O37" s="15"/>
      <c r="P37" s="14">
        <f>SUM(P32:P32)</f>
        <v>0</v>
      </c>
      <c r="Q37" s="15">
        <f>SUM(Q32:Q32)</f>
        <v>0</v>
      </c>
      <c r="R37" s="15">
        <f>SUM(R32:R32)</f>
        <v>0</v>
      </c>
      <c r="S37" s="15"/>
      <c r="T37" s="14"/>
      <c r="U37" s="13"/>
      <c r="V37" s="13"/>
      <c r="W37" s="13">
        <f>SUM(W33:W36)</f>
        <v>4.9800000000000004</v>
      </c>
      <c r="X37" s="14"/>
      <c r="Y37" s="85">
        <f>SUM(Y33:Y36)</f>
        <v>124699.99999999999</v>
      </c>
      <c r="Z37" s="13"/>
      <c r="AA37" s="13"/>
      <c r="AB37" s="65"/>
      <c r="AC37" s="8"/>
      <c r="AD37" s="8"/>
      <c r="AF37" s="110">
        <f>T37+W37+Z37</f>
        <v>4.9800000000000004</v>
      </c>
    </row>
    <row r="38" spans="1:33" s="23" customFormat="1" ht="24" customHeight="1">
      <c r="A38" s="145" t="s">
        <v>25</v>
      </c>
      <c r="B38" s="146"/>
      <c r="C38" s="146"/>
      <c r="D38" s="146"/>
      <c r="E38" s="146"/>
      <c r="F38" s="118"/>
      <c r="G38" s="13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9"/>
      <c r="V38" s="19"/>
      <c r="W38" s="19"/>
      <c r="X38" s="17"/>
      <c r="Y38" s="87"/>
      <c r="Z38" s="13"/>
      <c r="AA38" s="19"/>
      <c r="AB38" s="67"/>
      <c r="AC38" s="8"/>
      <c r="AD38" s="8"/>
    </row>
    <row r="39" spans="1:33" s="23" customFormat="1" ht="65.25" customHeight="1">
      <c r="A39" s="66">
        <v>8</v>
      </c>
      <c r="B39" s="26" t="s">
        <v>158</v>
      </c>
      <c r="C39" s="17" t="s">
        <v>17</v>
      </c>
      <c r="D39" s="17"/>
      <c r="E39" s="21">
        <v>5.4</v>
      </c>
      <c r="F39" s="21"/>
      <c r="G39" s="98">
        <f>(100635.78*1.2)*1.073</f>
        <v>129578.63032799998</v>
      </c>
      <c r="H39" s="21"/>
      <c r="I39" s="22"/>
      <c r="J39" s="22"/>
      <c r="K39" s="22"/>
      <c r="L39" s="27"/>
      <c r="M39" s="28"/>
      <c r="N39" s="22"/>
      <c r="O39" s="22"/>
      <c r="P39" s="20"/>
      <c r="Q39" s="22"/>
      <c r="R39" s="22"/>
      <c r="S39" s="22"/>
      <c r="T39" s="20"/>
      <c r="U39" s="19"/>
      <c r="V39" s="19"/>
      <c r="W39" s="21">
        <f>E39</f>
        <v>5.4</v>
      </c>
      <c r="X39" s="20"/>
      <c r="Y39" s="87">
        <f>G39</f>
        <v>129578.63032799998</v>
      </c>
      <c r="Z39" s="13"/>
      <c r="AA39" s="19"/>
      <c r="AB39" s="67"/>
      <c r="AC39" s="8"/>
      <c r="AD39" s="8"/>
    </row>
    <row r="40" spans="1:33" s="23" customFormat="1" ht="45" hidden="1" customHeight="1" thickBot="1">
      <c r="A40" s="66"/>
      <c r="B40" s="26" t="s">
        <v>75</v>
      </c>
      <c r="C40" s="17" t="s">
        <v>17</v>
      </c>
      <c r="D40" s="17"/>
      <c r="E40" s="21"/>
      <c r="F40" s="21"/>
      <c r="G40" s="19"/>
      <c r="H40" s="21"/>
      <c r="I40" s="22"/>
      <c r="J40" s="22"/>
      <c r="K40" s="22"/>
      <c r="L40" s="27"/>
      <c r="M40" s="28"/>
      <c r="N40" s="22"/>
      <c r="O40" s="22"/>
      <c r="P40" s="20"/>
      <c r="Q40" s="22"/>
      <c r="R40" s="22"/>
      <c r="S40" s="22"/>
      <c r="T40" s="20"/>
      <c r="U40" s="19"/>
      <c r="V40" s="19"/>
      <c r="W40" s="21">
        <f>E40</f>
        <v>0</v>
      </c>
      <c r="X40" s="20"/>
      <c r="Y40" s="87">
        <f>G40</f>
        <v>0</v>
      </c>
      <c r="Z40" s="13"/>
      <c r="AA40" s="19"/>
      <c r="AB40" s="67"/>
      <c r="AC40" s="8"/>
      <c r="AD40" s="8"/>
    </row>
    <row r="41" spans="1:33" s="23" customFormat="1" ht="30" customHeight="1">
      <c r="A41" s="143" t="s">
        <v>116</v>
      </c>
      <c r="B41" s="144"/>
      <c r="C41" s="17"/>
      <c r="D41" s="17"/>
      <c r="E41" s="14">
        <f>SUM(E39:E40)</f>
        <v>5.4</v>
      </c>
      <c r="F41" s="14"/>
      <c r="G41" s="13">
        <f>SUM(G39:G40)</f>
        <v>129578.63032799998</v>
      </c>
      <c r="H41" s="14" t="e">
        <f>SUM(#REF!)</f>
        <v>#REF!</v>
      </c>
      <c r="I41" s="15" t="e">
        <f>SUM(#REF!)</f>
        <v>#REF!</v>
      </c>
      <c r="J41" s="15" t="e">
        <f>SUM(#REF!)</f>
        <v>#REF!</v>
      </c>
      <c r="K41" s="15"/>
      <c r="L41" s="14" t="e">
        <f>SUM(#REF!)</f>
        <v>#REF!</v>
      </c>
      <c r="M41" s="15" t="e">
        <f>SUM(#REF!)</f>
        <v>#REF!</v>
      </c>
      <c r="N41" s="15" t="e">
        <f>SUM(#REF!)</f>
        <v>#REF!</v>
      </c>
      <c r="O41" s="15"/>
      <c r="P41" s="14" t="e">
        <f>SUM(#REF!)</f>
        <v>#REF!</v>
      </c>
      <c r="Q41" s="15" t="e">
        <f>SUM(#REF!)</f>
        <v>#REF!</v>
      </c>
      <c r="R41" s="15" t="e">
        <f>SUM(#REF!)</f>
        <v>#REF!</v>
      </c>
      <c r="S41" s="15"/>
      <c r="T41" s="14"/>
      <c r="U41" s="13"/>
      <c r="V41" s="13"/>
      <c r="W41" s="13">
        <f>SUM(W39:W40)</f>
        <v>5.4</v>
      </c>
      <c r="X41" s="14"/>
      <c r="Y41" s="85">
        <f>SUM(Y39:Y40)</f>
        <v>129578.63032799998</v>
      </c>
      <c r="Z41" s="13"/>
      <c r="AA41" s="13"/>
      <c r="AB41" s="65"/>
      <c r="AC41" s="8"/>
      <c r="AD41" s="8"/>
      <c r="AF41" s="110">
        <f>T41+W41+Z41</f>
        <v>5.4</v>
      </c>
    </row>
    <row r="42" spans="1:33" s="23" customFormat="1" ht="24" customHeight="1">
      <c r="A42" s="145" t="s">
        <v>26</v>
      </c>
      <c r="B42" s="146"/>
      <c r="C42" s="146"/>
      <c r="D42" s="146"/>
      <c r="E42" s="146"/>
      <c r="F42" s="118"/>
      <c r="G42" s="13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9"/>
      <c r="V42" s="19"/>
      <c r="W42" s="19"/>
      <c r="X42" s="17"/>
      <c r="Y42" s="87"/>
      <c r="Z42" s="13"/>
      <c r="AA42" s="19"/>
      <c r="AB42" s="67"/>
      <c r="AC42" s="8"/>
      <c r="AD42" s="8"/>
    </row>
    <row r="43" spans="1:33" s="23" customFormat="1" ht="49.5" hidden="1" customHeight="1">
      <c r="A43" s="66">
        <v>19</v>
      </c>
      <c r="B43" s="26" t="s">
        <v>49</v>
      </c>
      <c r="C43" s="17" t="s">
        <v>17</v>
      </c>
      <c r="D43" s="17"/>
      <c r="E43" s="29"/>
      <c r="F43" s="29"/>
      <c r="G43" s="19"/>
      <c r="H43" s="21"/>
      <c r="I43" s="22"/>
      <c r="J43" s="22"/>
      <c r="K43" s="22"/>
      <c r="L43" s="27"/>
      <c r="M43" s="28"/>
      <c r="N43" s="22"/>
      <c r="O43" s="22"/>
      <c r="P43" s="20"/>
      <c r="Q43" s="22"/>
      <c r="R43" s="22"/>
      <c r="S43" s="22"/>
      <c r="T43" s="29"/>
      <c r="U43" s="19"/>
      <c r="V43" s="19"/>
      <c r="W43" s="19"/>
      <c r="X43" s="20"/>
      <c r="Y43" s="87"/>
      <c r="Z43" s="13"/>
      <c r="AA43" s="19"/>
      <c r="AB43" s="67"/>
      <c r="AC43" s="8"/>
      <c r="AD43" s="8"/>
    </row>
    <row r="44" spans="1:33" s="23" customFormat="1" ht="43.5" customHeight="1">
      <c r="A44" s="66">
        <v>9</v>
      </c>
      <c r="B44" s="26" t="s">
        <v>50</v>
      </c>
      <c r="C44" s="17" t="s">
        <v>17</v>
      </c>
      <c r="D44" s="17"/>
      <c r="E44" s="29">
        <f>24.2-11.5</f>
        <v>12.7</v>
      </c>
      <c r="F44" s="29"/>
      <c r="G44" s="19">
        <v>303504.53000000003</v>
      </c>
      <c r="H44" s="21"/>
      <c r="I44" s="22"/>
      <c r="J44" s="22"/>
      <c r="K44" s="22"/>
      <c r="L44" s="27"/>
      <c r="M44" s="28"/>
      <c r="N44" s="22"/>
      <c r="O44" s="22"/>
      <c r="P44" s="20"/>
      <c r="Q44" s="22"/>
      <c r="R44" s="22"/>
      <c r="S44" s="22"/>
      <c r="T44" s="20">
        <v>12.7</v>
      </c>
      <c r="U44" s="24"/>
      <c r="V44" s="19">
        <v>101295.31540000001</v>
      </c>
      <c r="W44" s="19"/>
      <c r="X44" s="20"/>
      <c r="Y44" s="88"/>
      <c r="Z44" s="13"/>
      <c r="AA44" s="19"/>
      <c r="AB44" s="67"/>
      <c r="AC44" s="8"/>
      <c r="AD44" s="8"/>
      <c r="AG44" s="100">
        <f>G44-V44</f>
        <v>202209.21460000001</v>
      </c>
    </row>
    <row r="45" spans="1:33" s="23" customFormat="1" ht="61.5" customHeight="1">
      <c r="A45" s="66">
        <v>10</v>
      </c>
      <c r="B45" s="26" t="s">
        <v>159</v>
      </c>
      <c r="C45" s="17" t="s">
        <v>17</v>
      </c>
      <c r="D45" s="17"/>
      <c r="E45" s="29">
        <v>6.85</v>
      </c>
      <c r="F45" s="29"/>
      <c r="G45" s="19">
        <f>E45*27500+10000</f>
        <v>198375</v>
      </c>
      <c r="H45" s="21"/>
      <c r="I45" s="22"/>
      <c r="J45" s="22"/>
      <c r="K45" s="22"/>
      <c r="L45" s="27"/>
      <c r="M45" s="28"/>
      <c r="N45" s="22"/>
      <c r="O45" s="22"/>
      <c r="P45" s="20"/>
      <c r="Q45" s="22"/>
      <c r="R45" s="22"/>
      <c r="S45" s="22"/>
      <c r="T45" s="29"/>
      <c r="U45" s="19"/>
      <c r="V45" s="19"/>
      <c r="W45" s="20">
        <f>E45</f>
        <v>6.85</v>
      </c>
      <c r="X45" s="20"/>
      <c r="Y45" s="88">
        <f>G45</f>
        <v>198375</v>
      </c>
      <c r="Z45" s="13"/>
      <c r="AA45" s="19"/>
      <c r="AB45" s="67"/>
      <c r="AC45" s="8"/>
      <c r="AD45" s="8"/>
    </row>
    <row r="46" spans="1:33" s="23" customFormat="1" ht="32.25" customHeight="1">
      <c r="A46" s="143" t="s">
        <v>117</v>
      </c>
      <c r="B46" s="144"/>
      <c r="C46" s="17"/>
      <c r="D46" s="17"/>
      <c r="E46" s="14">
        <f>SUM(E43:E45)</f>
        <v>19.549999999999997</v>
      </c>
      <c r="F46" s="14"/>
      <c r="G46" s="13">
        <f>SUM(G43:G45)</f>
        <v>501879.53</v>
      </c>
      <c r="H46" s="14" t="e">
        <f>SUM(#REF!)</f>
        <v>#REF!</v>
      </c>
      <c r="I46" s="15" t="e">
        <f>SUM(#REF!)</f>
        <v>#REF!</v>
      </c>
      <c r="J46" s="15" t="e">
        <f>SUM(#REF!)</f>
        <v>#REF!</v>
      </c>
      <c r="K46" s="15"/>
      <c r="L46" s="14" t="e">
        <f>SUM(#REF!)</f>
        <v>#REF!</v>
      </c>
      <c r="M46" s="15" t="e">
        <f>SUM(#REF!)</f>
        <v>#REF!</v>
      </c>
      <c r="N46" s="15" t="e">
        <f>SUM(#REF!)</f>
        <v>#REF!</v>
      </c>
      <c r="O46" s="15" t="e">
        <f>SUM(#REF!)</f>
        <v>#REF!</v>
      </c>
      <c r="P46" s="14">
        <f>SUM(P43:P45)</f>
        <v>0</v>
      </c>
      <c r="Q46" s="15">
        <f>SUM(Q43:Q45)</f>
        <v>0</v>
      </c>
      <c r="R46" s="15">
        <f>SUM(R43:R45)</f>
        <v>0</v>
      </c>
      <c r="S46" s="15">
        <f>SUM(S43:S45)</f>
        <v>0</v>
      </c>
      <c r="T46" s="14">
        <f>SUM(T43:T45)</f>
        <v>12.7</v>
      </c>
      <c r="U46" s="13"/>
      <c r="V46" s="13">
        <f>SUM(V43:V45)</f>
        <v>101295.31540000001</v>
      </c>
      <c r="W46" s="14">
        <f>SUM(W43:W45)</f>
        <v>6.85</v>
      </c>
      <c r="X46" s="14"/>
      <c r="Y46" s="85">
        <f>SUM(Y43:Y45)</f>
        <v>198375</v>
      </c>
      <c r="Z46" s="13"/>
      <c r="AA46" s="13"/>
      <c r="AB46" s="65"/>
      <c r="AC46" s="8"/>
      <c r="AD46" s="8"/>
      <c r="AF46" s="110">
        <f>T46+W46+Z46</f>
        <v>19.549999999999997</v>
      </c>
    </row>
    <row r="47" spans="1:33" s="23" customFormat="1" ht="30.75" customHeight="1">
      <c r="A47" s="145" t="s">
        <v>27</v>
      </c>
      <c r="B47" s="146"/>
      <c r="C47" s="146"/>
      <c r="D47" s="146"/>
      <c r="E47" s="146"/>
      <c r="F47" s="118"/>
      <c r="G47" s="13"/>
      <c r="H47" s="17"/>
      <c r="I47" s="17"/>
      <c r="J47" s="17"/>
      <c r="K47" s="17"/>
      <c r="L47" s="17"/>
      <c r="M47" s="17"/>
      <c r="N47" s="17"/>
      <c r="O47" s="17"/>
      <c r="P47" s="17"/>
      <c r="Q47" s="22"/>
      <c r="R47" s="17"/>
      <c r="S47" s="17"/>
      <c r="T47" s="17"/>
      <c r="U47" s="19"/>
      <c r="V47" s="19"/>
      <c r="W47" s="19"/>
      <c r="X47" s="17"/>
      <c r="Y47" s="87"/>
      <c r="Z47" s="13"/>
      <c r="AA47" s="19"/>
      <c r="AB47" s="67"/>
      <c r="AC47" s="8"/>
      <c r="AD47" s="8"/>
    </row>
    <row r="48" spans="1:33" s="23" customFormat="1" ht="48" hidden="1" customHeight="1">
      <c r="A48" s="66"/>
      <c r="B48" s="26" t="s">
        <v>51</v>
      </c>
      <c r="C48" s="17" t="s">
        <v>17</v>
      </c>
      <c r="D48" s="17"/>
      <c r="E48" s="29"/>
      <c r="F48" s="29"/>
      <c r="G48" s="19"/>
      <c r="H48" s="21"/>
      <c r="I48" s="22"/>
      <c r="J48" s="22"/>
      <c r="K48" s="22"/>
      <c r="L48" s="27"/>
      <c r="M48" s="28"/>
      <c r="N48" s="22"/>
      <c r="O48" s="22"/>
      <c r="P48" s="27"/>
      <c r="Q48" s="28"/>
      <c r="R48" s="22"/>
      <c r="S48" s="22"/>
      <c r="T48" s="20"/>
      <c r="U48" s="19"/>
      <c r="V48" s="19"/>
      <c r="W48" s="19"/>
      <c r="X48" s="20"/>
      <c r="Y48" s="88"/>
      <c r="Z48" s="13"/>
      <c r="AA48" s="19"/>
      <c r="AB48" s="67"/>
      <c r="AC48" s="8"/>
      <c r="AD48" s="8"/>
    </row>
    <row r="49" spans="1:39" s="23" customFormat="1" ht="45.75" customHeight="1">
      <c r="A49" s="66">
        <v>11</v>
      </c>
      <c r="B49" s="26" t="s">
        <v>52</v>
      </c>
      <c r="C49" s="17" t="s">
        <v>17</v>
      </c>
      <c r="D49" s="17"/>
      <c r="E49" s="29">
        <v>4.97</v>
      </c>
      <c r="F49" s="21"/>
      <c r="G49" s="19">
        <f>74354.62*1.2*1.084*1.073-1401.644358-0.1106-0.07956-0.05076</f>
        <v>102379.200165808</v>
      </c>
      <c r="H49" s="21"/>
      <c r="I49" s="22"/>
      <c r="J49" s="22"/>
      <c r="K49" s="22"/>
      <c r="L49" s="27"/>
      <c r="M49" s="28"/>
      <c r="N49" s="22"/>
      <c r="O49" s="22"/>
      <c r="P49" s="27"/>
      <c r="Q49" s="28"/>
      <c r="R49" s="22"/>
      <c r="S49" s="22"/>
      <c r="T49" s="29"/>
      <c r="U49" s="19"/>
      <c r="V49" s="19"/>
      <c r="W49" s="21">
        <f>E49</f>
        <v>4.97</v>
      </c>
      <c r="X49" s="20"/>
      <c r="Y49" s="87">
        <f>G49</f>
        <v>102379.200165808</v>
      </c>
      <c r="Z49" s="13"/>
      <c r="AA49" s="19"/>
      <c r="AB49" s="67"/>
      <c r="AC49" s="8"/>
      <c r="AD49" s="8"/>
    </row>
    <row r="50" spans="1:39" s="23" customFormat="1" ht="43.5" hidden="1" customHeight="1">
      <c r="A50" s="66">
        <v>10</v>
      </c>
      <c r="B50" s="26" t="s">
        <v>100</v>
      </c>
      <c r="C50" s="17"/>
      <c r="D50" s="17"/>
      <c r="E50" s="21"/>
      <c r="F50" s="21"/>
      <c r="G50" s="19"/>
      <c r="H50" s="21"/>
      <c r="I50" s="22"/>
      <c r="J50" s="22"/>
      <c r="K50" s="22"/>
      <c r="L50" s="27"/>
      <c r="M50" s="28"/>
      <c r="N50" s="22"/>
      <c r="O50" s="22"/>
      <c r="P50" s="27"/>
      <c r="Q50" s="28"/>
      <c r="R50" s="22"/>
      <c r="S50" s="22"/>
      <c r="T50" s="29"/>
      <c r="U50" s="19"/>
      <c r="V50" s="19"/>
      <c r="W50" s="21"/>
      <c r="X50" s="20"/>
      <c r="Y50" s="87"/>
      <c r="Z50" s="13"/>
      <c r="AA50" s="19"/>
      <c r="AB50" s="67"/>
      <c r="AC50" s="8"/>
      <c r="AD50" s="8"/>
    </row>
    <row r="51" spans="1:39" s="23" customFormat="1" ht="32.25" customHeight="1">
      <c r="A51" s="143" t="s">
        <v>118</v>
      </c>
      <c r="B51" s="144"/>
      <c r="C51" s="144"/>
      <c r="D51" s="116"/>
      <c r="E51" s="14">
        <f>SUM(E49:E50)</f>
        <v>4.97</v>
      </c>
      <c r="F51" s="14"/>
      <c r="G51" s="13">
        <f>SUM(G49:G50)</f>
        <v>102379.200165808</v>
      </c>
      <c r="H51" s="14" t="e">
        <f>SUM(#REF!)</f>
        <v>#REF!</v>
      </c>
      <c r="I51" s="15" t="e">
        <f>SUM(#REF!)</f>
        <v>#REF!</v>
      </c>
      <c r="J51" s="15" t="e">
        <f>SUM(#REF!)</f>
        <v>#REF!</v>
      </c>
      <c r="K51" s="15"/>
      <c r="L51" s="14" t="e">
        <f>SUM(#REF!)</f>
        <v>#REF!</v>
      </c>
      <c r="M51" s="15" t="e">
        <f>SUM(#REF!)</f>
        <v>#REF!</v>
      </c>
      <c r="N51" s="15" t="e">
        <f>SUM(#REF!)</f>
        <v>#REF!</v>
      </c>
      <c r="O51" s="15" t="e">
        <f>SUM(#REF!)</f>
        <v>#REF!</v>
      </c>
      <c r="P51" s="14">
        <f t="shared" ref="P51:V51" si="3">SUM(P48:P49)</f>
        <v>0</v>
      </c>
      <c r="Q51" s="15">
        <f t="shared" si="3"/>
        <v>0</v>
      </c>
      <c r="R51" s="15">
        <f t="shared" si="3"/>
        <v>0</v>
      </c>
      <c r="S51" s="15">
        <f t="shared" si="3"/>
        <v>0</v>
      </c>
      <c r="T51" s="14">
        <f t="shared" si="3"/>
        <v>0</v>
      </c>
      <c r="U51" s="13">
        <f t="shared" si="3"/>
        <v>0</v>
      </c>
      <c r="V51" s="13">
        <f t="shared" si="3"/>
        <v>0</v>
      </c>
      <c r="W51" s="13">
        <f>SUM(W49)</f>
        <v>4.97</v>
      </c>
      <c r="X51" s="14"/>
      <c r="Y51" s="85">
        <f>SUM(Y49:Y50)</f>
        <v>102379.200165808</v>
      </c>
      <c r="Z51" s="13"/>
      <c r="AA51" s="13"/>
      <c r="AB51" s="65"/>
      <c r="AC51" s="8"/>
      <c r="AD51" s="8"/>
      <c r="AF51" s="110">
        <f>T51+W51+Z51</f>
        <v>4.97</v>
      </c>
    </row>
    <row r="52" spans="1:39" s="23" customFormat="1" ht="28.5" customHeight="1">
      <c r="A52" s="145" t="s">
        <v>28</v>
      </c>
      <c r="B52" s="146"/>
      <c r="C52" s="146"/>
      <c r="D52" s="146"/>
      <c r="E52" s="146"/>
      <c r="F52" s="118"/>
      <c r="G52" s="13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9"/>
      <c r="V52" s="19"/>
      <c r="W52" s="19"/>
      <c r="X52" s="17"/>
      <c r="Y52" s="87"/>
      <c r="Z52" s="13"/>
      <c r="AA52" s="19"/>
      <c r="AB52" s="67"/>
      <c r="AC52" s="8"/>
      <c r="AD52" s="8"/>
      <c r="AK52" s="23" t="s">
        <v>21</v>
      </c>
    </row>
    <row r="53" spans="1:39" s="23" customFormat="1" ht="30.75" customHeight="1">
      <c r="A53" s="66">
        <v>12</v>
      </c>
      <c r="B53" s="26" t="s">
        <v>147</v>
      </c>
      <c r="C53" s="17" t="s">
        <v>23</v>
      </c>
      <c r="D53" s="17"/>
      <c r="E53" s="29">
        <v>3.9</v>
      </c>
      <c r="F53" s="29"/>
      <c r="G53" s="19">
        <f>V53+Y53</f>
        <v>90872.591809999998</v>
      </c>
      <c r="H53" s="21"/>
      <c r="I53" s="22"/>
      <c r="J53" s="22"/>
      <c r="K53" s="22"/>
      <c r="L53" s="27"/>
      <c r="M53" s="28"/>
      <c r="N53" s="22"/>
      <c r="O53" s="22"/>
      <c r="P53" s="20"/>
      <c r="Q53" s="22"/>
      <c r="R53" s="22"/>
      <c r="S53" s="22"/>
      <c r="T53" s="20">
        <v>3.9</v>
      </c>
      <c r="U53" s="19"/>
      <c r="V53" s="19">
        <v>90872.591809999998</v>
      </c>
      <c r="W53" s="29"/>
      <c r="X53" s="20"/>
      <c r="Y53" s="87"/>
      <c r="Z53" s="13"/>
      <c r="AA53" s="19"/>
      <c r="AB53" s="67"/>
      <c r="AC53" s="8"/>
      <c r="AD53" s="8"/>
      <c r="AH53" s="23" t="s">
        <v>19</v>
      </c>
    </row>
    <row r="54" spans="1:39" s="23" customFormat="1" ht="42.75" hidden="1" customHeight="1">
      <c r="A54" s="66"/>
      <c r="B54" s="26" t="s">
        <v>53</v>
      </c>
      <c r="C54" s="17" t="s">
        <v>20</v>
      </c>
      <c r="D54" s="17"/>
      <c r="E54" s="29"/>
      <c r="F54" s="29"/>
      <c r="G54" s="19"/>
      <c r="H54" s="21"/>
      <c r="I54" s="22"/>
      <c r="J54" s="22"/>
      <c r="K54" s="22"/>
      <c r="L54" s="27"/>
      <c r="M54" s="28"/>
      <c r="N54" s="22"/>
      <c r="O54" s="22"/>
      <c r="P54" s="20"/>
      <c r="Q54" s="22"/>
      <c r="R54" s="22"/>
      <c r="S54" s="22"/>
      <c r="T54" s="20"/>
      <c r="U54" s="19"/>
      <c r="V54" s="19"/>
      <c r="W54" s="19"/>
      <c r="X54" s="20"/>
      <c r="Y54" s="87"/>
      <c r="Z54" s="13"/>
      <c r="AA54" s="19"/>
      <c r="AB54" s="67"/>
      <c r="AC54" s="8"/>
      <c r="AD54" s="8"/>
    </row>
    <row r="55" spans="1:39" s="23" customFormat="1" ht="42.75" customHeight="1">
      <c r="A55" s="66">
        <v>13</v>
      </c>
      <c r="B55" s="26" t="s">
        <v>148</v>
      </c>
      <c r="C55" s="17" t="s">
        <v>17</v>
      </c>
      <c r="D55" s="17"/>
      <c r="E55" s="29">
        <v>6.4</v>
      </c>
      <c r="F55" s="29"/>
      <c r="G55" s="19">
        <f>(106669.55*1.2)*1.084*1.073+0.07956</f>
        <v>148884.99999672003</v>
      </c>
      <c r="H55" s="21"/>
      <c r="I55" s="22"/>
      <c r="J55" s="22"/>
      <c r="K55" s="22"/>
      <c r="L55" s="27"/>
      <c r="M55" s="28"/>
      <c r="N55" s="22"/>
      <c r="O55" s="22"/>
      <c r="P55" s="20"/>
      <c r="Q55" s="22"/>
      <c r="R55" s="22"/>
      <c r="S55" s="22"/>
      <c r="T55" s="20"/>
      <c r="U55" s="19"/>
      <c r="V55" s="19"/>
      <c r="W55" s="20">
        <f>E55</f>
        <v>6.4</v>
      </c>
      <c r="X55" s="20"/>
      <c r="Y55" s="87">
        <f>G55</f>
        <v>148884.99999672003</v>
      </c>
      <c r="Z55" s="13"/>
      <c r="AA55" s="19"/>
      <c r="AB55" s="67"/>
      <c r="AC55" s="8"/>
      <c r="AD55" s="8"/>
      <c r="AM55" s="23" t="s">
        <v>21</v>
      </c>
    </row>
    <row r="56" spans="1:39" s="23" customFormat="1" ht="42.75" customHeight="1">
      <c r="A56" s="66">
        <v>14</v>
      </c>
      <c r="B56" s="26" t="s">
        <v>76</v>
      </c>
      <c r="C56" s="17" t="s">
        <v>17</v>
      </c>
      <c r="D56" s="17"/>
      <c r="E56" s="29">
        <v>9.5</v>
      </c>
      <c r="F56" s="29"/>
      <c r="G56" s="19">
        <f>E56*30000+3000</f>
        <v>288000</v>
      </c>
      <c r="H56" s="21"/>
      <c r="I56" s="22"/>
      <c r="J56" s="22"/>
      <c r="K56" s="22"/>
      <c r="L56" s="27"/>
      <c r="M56" s="28"/>
      <c r="N56" s="22"/>
      <c r="O56" s="22"/>
      <c r="P56" s="20"/>
      <c r="Q56" s="22"/>
      <c r="R56" s="22"/>
      <c r="S56" s="22"/>
      <c r="T56" s="20"/>
      <c r="U56" s="19"/>
      <c r="V56" s="19"/>
      <c r="W56" s="19"/>
      <c r="X56" s="20"/>
      <c r="Y56" s="87"/>
      <c r="Z56" s="29">
        <f>E56</f>
        <v>9.5</v>
      </c>
      <c r="AA56" s="19"/>
      <c r="AB56" s="67">
        <f>G56</f>
        <v>288000</v>
      </c>
      <c r="AC56" s="8"/>
      <c r="AD56" s="8"/>
    </row>
    <row r="57" spans="1:39" s="23" customFormat="1" ht="30.75" customHeight="1">
      <c r="A57" s="145" t="s">
        <v>119</v>
      </c>
      <c r="B57" s="146"/>
      <c r="C57" s="17"/>
      <c r="D57" s="17"/>
      <c r="E57" s="14">
        <f>SUM(E53:E56)</f>
        <v>19.8</v>
      </c>
      <c r="F57" s="14"/>
      <c r="G57" s="13">
        <f>SUM(G53:G56)</f>
        <v>527757.59180672001</v>
      </c>
      <c r="H57" s="14" t="e">
        <f>SUM(#REF!)</f>
        <v>#REF!</v>
      </c>
      <c r="I57" s="15" t="e">
        <f>SUM(#REF!)</f>
        <v>#REF!</v>
      </c>
      <c r="J57" s="15" t="e">
        <f>SUM(#REF!)</f>
        <v>#REF!</v>
      </c>
      <c r="K57" s="15"/>
      <c r="L57" s="14" t="e">
        <f>SUM(#REF!)</f>
        <v>#REF!</v>
      </c>
      <c r="M57" s="15" t="e">
        <f>SUM(#REF!)</f>
        <v>#REF!</v>
      </c>
      <c r="N57" s="15" t="e">
        <f>SUM(#REF!)</f>
        <v>#REF!</v>
      </c>
      <c r="O57" s="15" t="e">
        <f>SUM(#REF!)</f>
        <v>#REF!</v>
      </c>
      <c r="P57" s="14" t="e">
        <f>SUM(#REF!)</f>
        <v>#REF!</v>
      </c>
      <c r="Q57" s="15" t="e">
        <f>SUM(#REF!)</f>
        <v>#REF!</v>
      </c>
      <c r="R57" s="15" t="e">
        <f>SUM(#REF!)</f>
        <v>#REF!</v>
      </c>
      <c r="S57" s="15"/>
      <c r="T57" s="14">
        <f>SUM(T53:T54)</f>
        <v>3.9</v>
      </c>
      <c r="U57" s="13"/>
      <c r="V57" s="13">
        <f>SUM(V53:V54)</f>
        <v>90872.591809999998</v>
      </c>
      <c r="W57" s="13">
        <f>SUM(W53:W56)</f>
        <v>6.4</v>
      </c>
      <c r="X57" s="14"/>
      <c r="Y57" s="85">
        <f>SUM(Y53:Y56)</f>
        <v>148884.99999672003</v>
      </c>
      <c r="Z57" s="13">
        <f>SUM(Z53:Z56)</f>
        <v>9.5</v>
      </c>
      <c r="AA57" s="14"/>
      <c r="AB57" s="65">
        <f>SUM(AB53:AB56)</f>
        <v>288000</v>
      </c>
      <c r="AC57" s="8"/>
      <c r="AD57" s="8"/>
      <c r="AF57" s="110">
        <f>T57+W57+Z57</f>
        <v>19.8</v>
      </c>
    </row>
    <row r="58" spans="1:39" s="23" customFormat="1" ht="27.75" hidden="1" customHeight="1">
      <c r="A58" s="145" t="s">
        <v>54</v>
      </c>
      <c r="B58" s="146"/>
      <c r="C58" s="146"/>
      <c r="D58" s="146"/>
      <c r="E58" s="146"/>
      <c r="F58" s="118"/>
      <c r="G58" s="13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9"/>
      <c r="V58" s="19"/>
      <c r="W58" s="19"/>
      <c r="X58" s="17"/>
      <c r="Y58" s="87"/>
      <c r="Z58" s="13"/>
      <c r="AA58" s="19"/>
      <c r="AB58" s="67"/>
      <c r="AC58" s="8"/>
      <c r="AD58" s="8"/>
    </row>
    <row r="59" spans="1:39" s="23" customFormat="1" ht="40.5" hidden="1" customHeight="1">
      <c r="A59" s="66">
        <v>12</v>
      </c>
      <c r="B59" s="26" t="s">
        <v>150</v>
      </c>
      <c r="C59" s="17"/>
      <c r="D59" s="17"/>
      <c r="E59" s="29"/>
      <c r="F59" s="29"/>
      <c r="G59" s="19"/>
      <c r="H59" s="21"/>
      <c r="I59" s="22"/>
      <c r="J59" s="22"/>
      <c r="K59" s="22"/>
      <c r="L59" s="27"/>
      <c r="M59" s="28"/>
      <c r="N59" s="22"/>
      <c r="O59" s="22"/>
      <c r="P59" s="20"/>
      <c r="Q59" s="22"/>
      <c r="R59" s="22"/>
      <c r="S59" s="22"/>
      <c r="T59" s="20"/>
      <c r="U59" s="19"/>
      <c r="V59" s="19"/>
      <c r="W59" s="29"/>
      <c r="X59" s="20"/>
      <c r="Y59" s="87"/>
      <c r="Z59" s="13"/>
      <c r="AA59" s="19"/>
      <c r="AB59" s="67"/>
      <c r="AC59" s="8"/>
      <c r="AD59" s="8"/>
    </row>
    <row r="60" spans="1:39" s="23" customFormat="1" ht="46.5" hidden="1" customHeight="1" thickBot="1">
      <c r="A60" s="66"/>
      <c r="B60" s="26" t="s">
        <v>55</v>
      </c>
      <c r="C60" s="17" t="s">
        <v>17</v>
      </c>
      <c r="D60" s="17"/>
      <c r="E60" s="29"/>
      <c r="F60" s="29"/>
      <c r="G60" s="19"/>
      <c r="H60" s="21"/>
      <c r="I60" s="22"/>
      <c r="J60" s="22"/>
      <c r="K60" s="22"/>
      <c r="L60" s="27"/>
      <c r="M60" s="28"/>
      <c r="N60" s="22"/>
      <c r="O60" s="22"/>
      <c r="P60" s="20"/>
      <c r="Q60" s="22"/>
      <c r="R60" s="22"/>
      <c r="S60" s="22"/>
      <c r="T60" s="20"/>
      <c r="U60" s="19"/>
      <c r="V60" s="19"/>
      <c r="W60" s="19"/>
      <c r="X60" s="20"/>
      <c r="Y60" s="87"/>
      <c r="Z60" s="13"/>
      <c r="AA60" s="19"/>
      <c r="AB60" s="67"/>
      <c r="AC60" s="8"/>
      <c r="AD60" s="8"/>
    </row>
    <row r="61" spans="1:39" s="23" customFormat="1" ht="30.75" hidden="1" customHeight="1">
      <c r="A61" s="143" t="s">
        <v>120</v>
      </c>
      <c r="B61" s="144"/>
      <c r="C61" s="17"/>
      <c r="D61" s="17"/>
      <c r="E61" s="14">
        <f>SUM(E59:E60)</f>
        <v>0</v>
      </c>
      <c r="F61" s="14"/>
      <c r="G61" s="13">
        <f>SUM(G59:G60)</f>
        <v>0</v>
      </c>
      <c r="H61" s="14" t="e">
        <f>SUM(#REF!)</f>
        <v>#REF!</v>
      </c>
      <c r="I61" s="15" t="e">
        <f>SUM(#REF!)</f>
        <v>#REF!</v>
      </c>
      <c r="J61" s="15" t="e">
        <f>SUM(#REF!)</f>
        <v>#REF!</v>
      </c>
      <c r="K61" s="15"/>
      <c r="L61" s="14" t="e">
        <f>SUM(#REF!)</f>
        <v>#REF!</v>
      </c>
      <c r="M61" s="15" t="e">
        <f>SUM(#REF!)</f>
        <v>#REF!</v>
      </c>
      <c r="N61" s="15" t="e">
        <f>SUM(#REF!)</f>
        <v>#REF!</v>
      </c>
      <c r="O61" s="15" t="e">
        <f>SUM(#REF!)</f>
        <v>#REF!</v>
      </c>
      <c r="P61" s="14" t="e">
        <f>SUM(#REF!)</f>
        <v>#REF!</v>
      </c>
      <c r="Q61" s="15" t="e">
        <f>SUM(#REF!)</f>
        <v>#REF!</v>
      </c>
      <c r="R61" s="15" t="e">
        <f>SUM(#REF!)</f>
        <v>#REF!</v>
      </c>
      <c r="S61" s="15"/>
      <c r="T61" s="14"/>
      <c r="U61" s="13"/>
      <c r="V61" s="13"/>
      <c r="W61" s="13">
        <f>SUM(W59:W60)</f>
        <v>0</v>
      </c>
      <c r="X61" s="13"/>
      <c r="Y61" s="85">
        <f>SUM(Y59:Y60)</f>
        <v>0</v>
      </c>
      <c r="Z61" s="13"/>
      <c r="AA61" s="13"/>
      <c r="AB61" s="65"/>
      <c r="AC61" s="8"/>
      <c r="AD61" s="8"/>
      <c r="AF61" s="110">
        <f>T61+W61+Z61</f>
        <v>0</v>
      </c>
    </row>
    <row r="62" spans="1:39" s="23" customFormat="1" ht="29.25" hidden="1" customHeight="1">
      <c r="A62" s="145" t="s">
        <v>30</v>
      </c>
      <c r="B62" s="146"/>
      <c r="C62" s="146"/>
      <c r="D62" s="146"/>
      <c r="E62" s="146"/>
      <c r="F62" s="118"/>
      <c r="G62" s="13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9"/>
      <c r="V62" s="19"/>
      <c r="W62" s="19"/>
      <c r="X62" s="17"/>
      <c r="Y62" s="87"/>
      <c r="Z62" s="13"/>
      <c r="AA62" s="19"/>
      <c r="AB62" s="67"/>
      <c r="AC62" s="8"/>
      <c r="AD62" s="8"/>
    </row>
    <row r="63" spans="1:39" s="23" customFormat="1" ht="34.5" hidden="1" customHeight="1">
      <c r="A63" s="66"/>
      <c r="B63" s="26" t="s">
        <v>101</v>
      </c>
      <c r="C63" s="17" t="s">
        <v>17</v>
      </c>
      <c r="D63" s="17"/>
      <c r="E63" s="29"/>
      <c r="F63" s="29"/>
      <c r="G63" s="19"/>
      <c r="H63" s="21"/>
      <c r="I63" s="22"/>
      <c r="J63" s="22"/>
      <c r="K63" s="22"/>
      <c r="L63" s="27"/>
      <c r="M63" s="28"/>
      <c r="N63" s="22"/>
      <c r="O63" s="22"/>
      <c r="P63" s="27"/>
      <c r="Q63" s="28"/>
      <c r="R63" s="22"/>
      <c r="S63" s="22"/>
      <c r="T63" s="20"/>
      <c r="U63" s="19"/>
      <c r="V63" s="19"/>
      <c r="W63" s="20"/>
      <c r="X63" s="20"/>
      <c r="Y63" s="87"/>
      <c r="Z63" s="13"/>
      <c r="AA63" s="19"/>
      <c r="AB63" s="67"/>
      <c r="AC63" s="8"/>
      <c r="AD63" s="8"/>
    </row>
    <row r="64" spans="1:39" s="23" customFormat="1" ht="57" hidden="1" customHeight="1">
      <c r="A64" s="66"/>
      <c r="B64" s="26" t="s">
        <v>102</v>
      </c>
      <c r="C64" s="17" t="s">
        <v>17</v>
      </c>
      <c r="D64" s="17"/>
      <c r="E64" s="29"/>
      <c r="F64" s="29"/>
      <c r="G64" s="19"/>
      <c r="H64" s="21"/>
      <c r="I64" s="22"/>
      <c r="J64" s="22"/>
      <c r="K64" s="22"/>
      <c r="L64" s="27"/>
      <c r="M64" s="28"/>
      <c r="N64" s="22"/>
      <c r="O64" s="22"/>
      <c r="P64" s="27"/>
      <c r="Q64" s="28"/>
      <c r="R64" s="22"/>
      <c r="S64" s="22"/>
      <c r="T64" s="20"/>
      <c r="U64" s="19"/>
      <c r="V64" s="19"/>
      <c r="W64" s="20"/>
      <c r="X64" s="20"/>
      <c r="Y64" s="87"/>
      <c r="Z64" s="13"/>
      <c r="AA64" s="19"/>
      <c r="AB64" s="67"/>
      <c r="AC64" s="8"/>
      <c r="AD64" s="8"/>
    </row>
    <row r="65" spans="1:32" s="23" customFormat="1" ht="51.75" hidden="1" customHeight="1">
      <c r="A65" s="66"/>
      <c r="B65" s="26" t="s">
        <v>103</v>
      </c>
      <c r="C65" s="17" t="s">
        <v>29</v>
      </c>
      <c r="D65" s="17"/>
      <c r="E65" s="29"/>
      <c r="F65" s="29"/>
      <c r="G65" s="19"/>
      <c r="H65" s="21"/>
      <c r="I65" s="22"/>
      <c r="J65" s="22"/>
      <c r="K65" s="22"/>
      <c r="L65" s="27"/>
      <c r="M65" s="28"/>
      <c r="N65" s="22"/>
      <c r="O65" s="22"/>
      <c r="P65" s="27"/>
      <c r="Q65" s="28"/>
      <c r="R65" s="22"/>
      <c r="S65" s="22"/>
      <c r="T65" s="20"/>
      <c r="U65" s="19"/>
      <c r="V65" s="19"/>
      <c r="W65" s="20"/>
      <c r="X65" s="20"/>
      <c r="Y65" s="87"/>
      <c r="Z65" s="13"/>
      <c r="AA65" s="19"/>
      <c r="AB65" s="67"/>
      <c r="AC65" s="8"/>
      <c r="AD65" s="8"/>
    </row>
    <row r="66" spans="1:32" s="23" customFormat="1" ht="36" hidden="1" customHeight="1">
      <c r="A66" s="143" t="s">
        <v>121</v>
      </c>
      <c r="B66" s="144"/>
      <c r="C66" s="17"/>
      <c r="D66" s="17"/>
      <c r="E66" s="13">
        <f>SUM(E63:E65)</f>
        <v>0</v>
      </c>
      <c r="F66" s="13"/>
      <c r="G66" s="13">
        <f>SUM(G63:G65)</f>
        <v>0</v>
      </c>
      <c r="H66" s="14"/>
      <c r="I66" s="15"/>
      <c r="J66" s="15"/>
      <c r="K66" s="15"/>
      <c r="L66" s="14"/>
      <c r="M66" s="15"/>
      <c r="N66" s="15"/>
      <c r="O66" s="15"/>
      <c r="P66" s="13"/>
      <c r="Q66" s="15"/>
      <c r="R66" s="15"/>
      <c r="S66" s="15"/>
      <c r="T66" s="13"/>
      <c r="U66" s="13"/>
      <c r="V66" s="13"/>
      <c r="W66" s="13">
        <f>SUM(W63:W65)</f>
        <v>0</v>
      </c>
      <c r="X66" s="13"/>
      <c r="Y66" s="85">
        <f>SUM(Y63:Y65)</f>
        <v>0</v>
      </c>
      <c r="Z66" s="13"/>
      <c r="AA66" s="13"/>
      <c r="AB66" s="65"/>
      <c r="AC66" s="8"/>
      <c r="AD66" s="8"/>
    </row>
    <row r="67" spans="1:32" s="23" customFormat="1" ht="27" customHeight="1">
      <c r="A67" s="145" t="s">
        <v>56</v>
      </c>
      <c r="B67" s="146"/>
      <c r="C67" s="146"/>
      <c r="D67" s="146"/>
      <c r="E67" s="146"/>
      <c r="F67" s="118"/>
      <c r="G67" s="13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9"/>
      <c r="V67" s="19"/>
      <c r="W67" s="19"/>
      <c r="X67" s="17"/>
      <c r="Y67" s="87"/>
      <c r="Z67" s="13"/>
      <c r="AA67" s="19"/>
      <c r="AB67" s="67"/>
      <c r="AC67" s="8"/>
      <c r="AD67" s="8"/>
    </row>
    <row r="68" spans="1:32" s="23" customFormat="1" ht="48" customHeight="1">
      <c r="A68" s="66">
        <v>15</v>
      </c>
      <c r="B68" s="26" t="s">
        <v>149</v>
      </c>
      <c r="C68" s="17" t="s">
        <v>23</v>
      </c>
      <c r="D68" s="17"/>
      <c r="E68" s="29">
        <v>4.0999999999999996</v>
      </c>
      <c r="F68" s="29"/>
      <c r="G68" s="19">
        <f>112750+10000</f>
        <v>122750</v>
      </c>
      <c r="H68" s="21"/>
      <c r="I68" s="22"/>
      <c r="J68" s="22"/>
      <c r="K68" s="22"/>
      <c r="L68" s="27"/>
      <c r="M68" s="28"/>
      <c r="N68" s="22"/>
      <c r="O68" s="22"/>
      <c r="P68" s="27"/>
      <c r="Q68" s="28"/>
      <c r="R68" s="22"/>
      <c r="S68" s="22"/>
      <c r="T68" s="20"/>
      <c r="U68" s="19"/>
      <c r="V68" s="19"/>
      <c r="W68" s="20">
        <f>E68</f>
        <v>4.0999999999999996</v>
      </c>
      <c r="X68" s="20"/>
      <c r="Y68" s="87">
        <f>G68</f>
        <v>122750</v>
      </c>
      <c r="Z68" s="13"/>
      <c r="AA68" s="19"/>
      <c r="AB68" s="67"/>
      <c r="AC68" s="8"/>
      <c r="AD68" s="8"/>
    </row>
    <row r="69" spans="1:32" s="23" customFormat="1" ht="32.25" customHeight="1">
      <c r="A69" s="143" t="s">
        <v>122</v>
      </c>
      <c r="B69" s="144"/>
      <c r="C69" s="17"/>
      <c r="D69" s="17"/>
      <c r="E69" s="14">
        <f>E68</f>
        <v>4.0999999999999996</v>
      </c>
      <c r="F69" s="14"/>
      <c r="G69" s="13">
        <f>G68</f>
        <v>122750</v>
      </c>
      <c r="H69" s="14"/>
      <c r="I69" s="15"/>
      <c r="J69" s="15"/>
      <c r="K69" s="15"/>
      <c r="L69" s="14"/>
      <c r="M69" s="15"/>
      <c r="N69" s="15"/>
      <c r="O69" s="15"/>
      <c r="P69" s="14"/>
      <c r="Q69" s="15"/>
      <c r="R69" s="15"/>
      <c r="S69" s="15"/>
      <c r="T69" s="14"/>
      <c r="U69" s="13"/>
      <c r="V69" s="13"/>
      <c r="W69" s="14">
        <f>W68</f>
        <v>4.0999999999999996</v>
      </c>
      <c r="X69" s="14"/>
      <c r="Y69" s="85">
        <f>Y68</f>
        <v>122750</v>
      </c>
      <c r="Z69" s="13"/>
      <c r="AA69" s="13"/>
      <c r="AB69" s="65"/>
      <c r="AC69" s="8"/>
      <c r="AD69" s="8"/>
      <c r="AF69" s="110">
        <f>T69+W69+Z69</f>
        <v>4.0999999999999996</v>
      </c>
    </row>
    <row r="70" spans="1:32" s="23" customFormat="1" ht="29.25" hidden="1" customHeight="1">
      <c r="A70" s="145" t="s">
        <v>31</v>
      </c>
      <c r="B70" s="146"/>
      <c r="C70" s="146"/>
      <c r="D70" s="146"/>
      <c r="E70" s="146"/>
      <c r="F70" s="118"/>
      <c r="G70" s="13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9"/>
      <c r="V70" s="19"/>
      <c r="W70" s="19"/>
      <c r="X70" s="17"/>
      <c r="Y70" s="87"/>
      <c r="Z70" s="13"/>
      <c r="AA70" s="19"/>
      <c r="AB70" s="67"/>
      <c r="AC70" s="8"/>
      <c r="AD70" s="8"/>
    </row>
    <row r="71" spans="1:32" s="23" customFormat="1" ht="40.5" hidden="1" customHeight="1">
      <c r="A71" s="66">
        <v>38</v>
      </c>
      <c r="B71" s="30" t="s">
        <v>57</v>
      </c>
      <c r="C71" s="17" t="s">
        <v>17</v>
      </c>
      <c r="D71" s="17"/>
      <c r="E71" s="21"/>
      <c r="F71" s="21"/>
      <c r="G71" s="19"/>
      <c r="H71" s="21"/>
      <c r="I71" s="22"/>
      <c r="J71" s="22"/>
      <c r="K71" s="22"/>
      <c r="L71" s="27"/>
      <c r="M71" s="28"/>
      <c r="N71" s="22"/>
      <c r="O71" s="22"/>
      <c r="P71" s="20"/>
      <c r="Q71" s="19"/>
      <c r="R71" s="22"/>
      <c r="S71" s="22"/>
      <c r="T71" s="20"/>
      <c r="U71" s="19"/>
      <c r="V71" s="19"/>
      <c r="W71" s="21">
        <f>E71</f>
        <v>0</v>
      </c>
      <c r="X71" s="19"/>
      <c r="Y71" s="87">
        <f>G71</f>
        <v>0</v>
      </c>
      <c r="Z71" s="13"/>
      <c r="AA71" s="19"/>
      <c r="AB71" s="67"/>
      <c r="AC71" s="8"/>
      <c r="AD71" s="8"/>
    </row>
    <row r="72" spans="1:32" s="23" customFormat="1" ht="48.75" hidden="1" customHeight="1">
      <c r="A72" s="66">
        <v>40</v>
      </c>
      <c r="B72" s="26" t="s">
        <v>78</v>
      </c>
      <c r="C72" s="17" t="s">
        <v>23</v>
      </c>
      <c r="D72" s="17"/>
      <c r="E72" s="21"/>
      <c r="F72" s="21"/>
      <c r="G72" s="19"/>
      <c r="H72" s="21"/>
      <c r="I72" s="22"/>
      <c r="J72" s="22"/>
      <c r="K72" s="22"/>
      <c r="L72" s="27"/>
      <c r="M72" s="28"/>
      <c r="N72" s="22"/>
      <c r="O72" s="22"/>
      <c r="P72" s="20"/>
      <c r="Q72" s="22"/>
      <c r="R72" s="22"/>
      <c r="S72" s="22"/>
      <c r="T72" s="20"/>
      <c r="U72" s="19"/>
      <c r="V72" s="19"/>
      <c r="W72" s="21">
        <f t="shared" ref="W72" si="4">E72</f>
        <v>0</v>
      </c>
      <c r="X72" s="19"/>
      <c r="Y72" s="87">
        <f t="shared" ref="Y72" si="5">G72</f>
        <v>0</v>
      </c>
      <c r="Z72" s="13"/>
      <c r="AA72" s="19"/>
      <c r="AB72" s="67"/>
      <c r="AC72" s="8"/>
      <c r="AD72" s="8"/>
    </row>
    <row r="73" spans="1:32" s="23" customFormat="1" ht="40.5" hidden="1" customHeight="1" thickBot="1">
      <c r="A73" s="66">
        <v>41</v>
      </c>
      <c r="B73" s="26" t="s">
        <v>79</v>
      </c>
      <c r="C73" s="17" t="s">
        <v>23</v>
      </c>
      <c r="D73" s="17"/>
      <c r="E73" s="21"/>
      <c r="F73" s="21"/>
      <c r="G73" s="19"/>
      <c r="H73" s="21"/>
      <c r="I73" s="22"/>
      <c r="J73" s="22"/>
      <c r="K73" s="22"/>
      <c r="L73" s="27"/>
      <c r="M73" s="28"/>
      <c r="N73" s="22"/>
      <c r="O73" s="22"/>
      <c r="P73" s="20"/>
      <c r="Q73" s="22"/>
      <c r="R73" s="22"/>
      <c r="S73" s="22"/>
      <c r="T73" s="20"/>
      <c r="U73" s="19"/>
      <c r="V73" s="19"/>
      <c r="W73" s="21"/>
      <c r="X73" s="19"/>
      <c r="Y73" s="87"/>
      <c r="Z73" s="13"/>
      <c r="AA73" s="19"/>
      <c r="AB73" s="67"/>
      <c r="AC73" s="8"/>
      <c r="AD73" s="8"/>
    </row>
    <row r="74" spans="1:32" s="23" customFormat="1" ht="32.25" hidden="1" customHeight="1" thickBot="1">
      <c r="A74" s="143" t="s">
        <v>58</v>
      </c>
      <c r="B74" s="144"/>
      <c r="C74" s="17"/>
      <c r="D74" s="17"/>
      <c r="E74" s="14">
        <f>SUM(E71:E73)</f>
        <v>0</v>
      </c>
      <c r="F74" s="14"/>
      <c r="G74" s="13">
        <f>SUM(G71:G73)</f>
        <v>0</v>
      </c>
      <c r="H74" s="14" t="e">
        <f>SUM(#REF!)</f>
        <v>#REF!</v>
      </c>
      <c r="I74" s="15" t="e">
        <f>SUM(#REF!)</f>
        <v>#REF!</v>
      </c>
      <c r="J74" s="15" t="e">
        <f>SUM(#REF!)</f>
        <v>#REF!</v>
      </c>
      <c r="K74" s="15"/>
      <c r="L74" s="14" t="e">
        <f>SUM(#REF!)</f>
        <v>#REF!</v>
      </c>
      <c r="M74" s="15" t="e">
        <f>SUM(#REF!)</f>
        <v>#REF!</v>
      </c>
      <c r="N74" s="15" t="e">
        <f>SUM(#REF!)</f>
        <v>#REF!</v>
      </c>
      <c r="O74" s="15" t="e">
        <f>SUM(#REF!)</f>
        <v>#REF!</v>
      </c>
      <c r="P74" s="14" t="e">
        <f>SUM(#REF!)</f>
        <v>#REF!</v>
      </c>
      <c r="Q74" s="15" t="e">
        <f>SUM(#REF!)</f>
        <v>#REF!</v>
      </c>
      <c r="R74" s="15" t="e">
        <f>SUM(#REF!)</f>
        <v>#REF!</v>
      </c>
      <c r="S74" s="15"/>
      <c r="T74" s="14">
        <f>SUM(T71:T71)</f>
        <v>0</v>
      </c>
      <c r="U74" s="13">
        <f>SUM(U71:U71)</f>
        <v>0</v>
      </c>
      <c r="V74" s="13">
        <f>SUM(V71:V71)</f>
        <v>0</v>
      </c>
      <c r="W74" s="13">
        <f>SUM(W71:W73)</f>
        <v>0</v>
      </c>
      <c r="X74" s="14"/>
      <c r="Y74" s="85">
        <f>SUM(Y71:Y73)</f>
        <v>0</v>
      </c>
      <c r="Z74" s="13"/>
      <c r="AA74" s="13"/>
      <c r="AB74" s="65"/>
      <c r="AC74" s="8"/>
      <c r="AD74" s="8"/>
    </row>
    <row r="75" spans="1:32" s="23" customFormat="1" ht="25.5" hidden="1" customHeight="1">
      <c r="A75" s="145" t="s">
        <v>41</v>
      </c>
      <c r="B75" s="146"/>
      <c r="C75" s="146"/>
      <c r="D75" s="146"/>
      <c r="E75" s="146"/>
      <c r="F75" s="118"/>
      <c r="G75" s="13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9"/>
      <c r="V75" s="19"/>
      <c r="W75" s="19"/>
      <c r="X75" s="17"/>
      <c r="Y75" s="87"/>
      <c r="Z75" s="13"/>
      <c r="AA75" s="19"/>
      <c r="AB75" s="67"/>
      <c r="AC75" s="8"/>
      <c r="AD75" s="8"/>
    </row>
    <row r="76" spans="1:32" s="23" customFormat="1" ht="62.25" hidden="1" customHeight="1">
      <c r="A76" s="66">
        <v>43</v>
      </c>
      <c r="B76" s="16" t="s">
        <v>59</v>
      </c>
      <c r="C76" s="17" t="s">
        <v>17</v>
      </c>
      <c r="D76" s="17"/>
      <c r="E76" s="21"/>
      <c r="F76" s="21"/>
      <c r="G76" s="19"/>
      <c r="H76" s="21"/>
      <c r="I76" s="22"/>
      <c r="J76" s="22"/>
      <c r="K76" s="22"/>
      <c r="L76" s="20"/>
      <c r="M76" s="22"/>
      <c r="N76" s="22"/>
      <c r="O76" s="22"/>
      <c r="P76" s="20"/>
      <c r="Q76" s="22"/>
      <c r="R76" s="22"/>
      <c r="S76" s="22"/>
      <c r="T76" s="20"/>
      <c r="U76" s="19"/>
      <c r="V76" s="19"/>
      <c r="W76" s="21">
        <f>E76</f>
        <v>0</v>
      </c>
      <c r="X76" s="20"/>
      <c r="Y76" s="87">
        <f>G76</f>
        <v>0</v>
      </c>
      <c r="Z76" s="13"/>
      <c r="AA76" s="19"/>
      <c r="AB76" s="67"/>
      <c r="AC76" s="8"/>
      <c r="AD76" s="8"/>
    </row>
    <row r="77" spans="1:32" s="23" customFormat="1" ht="72.75" hidden="1" customHeight="1" thickBot="1">
      <c r="A77" s="66">
        <v>44</v>
      </c>
      <c r="B77" s="26" t="s">
        <v>42</v>
      </c>
      <c r="C77" s="17" t="s">
        <v>17</v>
      </c>
      <c r="D77" s="17"/>
      <c r="E77" s="21"/>
      <c r="F77" s="21"/>
      <c r="G77" s="19"/>
      <c r="H77" s="21"/>
      <c r="I77" s="22"/>
      <c r="J77" s="22"/>
      <c r="K77" s="22"/>
      <c r="L77" s="20"/>
      <c r="M77" s="22"/>
      <c r="N77" s="22"/>
      <c r="O77" s="22"/>
      <c r="P77" s="20"/>
      <c r="Q77" s="22"/>
      <c r="R77" s="22"/>
      <c r="S77" s="22"/>
      <c r="T77" s="20"/>
      <c r="U77" s="19"/>
      <c r="V77" s="19"/>
      <c r="W77" s="21">
        <f>E77</f>
        <v>0</v>
      </c>
      <c r="X77" s="20"/>
      <c r="Y77" s="87">
        <f>G77</f>
        <v>0</v>
      </c>
      <c r="Z77" s="13"/>
      <c r="AA77" s="19"/>
      <c r="AB77" s="67"/>
      <c r="AC77" s="8"/>
      <c r="AD77" s="8"/>
    </row>
    <row r="78" spans="1:32" s="23" customFormat="1" ht="29.25" hidden="1" customHeight="1" thickBot="1">
      <c r="A78" s="143" t="s">
        <v>60</v>
      </c>
      <c r="B78" s="144"/>
      <c r="C78" s="33"/>
      <c r="D78" s="33"/>
      <c r="E78" s="14">
        <f>SUM(E76:E77)</f>
        <v>0</v>
      </c>
      <c r="F78" s="14"/>
      <c r="G78" s="13">
        <f>SUM(G76:G77)</f>
        <v>0</v>
      </c>
      <c r="H78" s="14" t="e">
        <f>SUM(#REF!)</f>
        <v>#REF!</v>
      </c>
      <c r="I78" s="15" t="e">
        <f>SUM(#REF!)</f>
        <v>#REF!</v>
      </c>
      <c r="J78" s="15" t="e">
        <f>SUM(#REF!)</f>
        <v>#REF!</v>
      </c>
      <c r="K78" s="15"/>
      <c r="L78" s="14" t="e">
        <f>SUM(#REF!)</f>
        <v>#REF!</v>
      </c>
      <c r="M78" s="15" t="e">
        <f>SUM(#REF!)</f>
        <v>#REF!</v>
      </c>
      <c r="N78" s="15" t="e">
        <f>SUM(#REF!)</f>
        <v>#REF!</v>
      </c>
      <c r="O78" s="15" t="e">
        <f>SUM(#REF!)</f>
        <v>#REF!</v>
      </c>
      <c r="P78" s="14" t="e">
        <f>SUM(#REF!)</f>
        <v>#REF!</v>
      </c>
      <c r="Q78" s="15" t="e">
        <f>SUM(#REF!)</f>
        <v>#REF!</v>
      </c>
      <c r="R78" s="15" t="e">
        <f>SUM(#REF!)</f>
        <v>#REF!</v>
      </c>
      <c r="S78" s="15"/>
      <c r="T78" s="14"/>
      <c r="U78" s="13"/>
      <c r="V78" s="13"/>
      <c r="W78" s="13">
        <f>SUM(W76:W77)</f>
        <v>0</v>
      </c>
      <c r="X78" s="14"/>
      <c r="Y78" s="85">
        <f>SUM(Y76:Y77)</f>
        <v>0</v>
      </c>
      <c r="Z78" s="13"/>
      <c r="AA78" s="13"/>
      <c r="AB78" s="65"/>
      <c r="AC78" s="8"/>
      <c r="AD78" s="8"/>
    </row>
    <row r="79" spans="1:32" s="23" customFormat="1" ht="30" customHeight="1">
      <c r="A79" s="145" t="s">
        <v>61</v>
      </c>
      <c r="B79" s="146"/>
      <c r="C79" s="146"/>
      <c r="D79" s="146"/>
      <c r="E79" s="146"/>
      <c r="F79" s="118"/>
      <c r="G79" s="13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9"/>
      <c r="V79" s="19"/>
      <c r="W79" s="19"/>
      <c r="X79" s="17"/>
      <c r="Y79" s="87"/>
      <c r="Z79" s="13"/>
      <c r="AA79" s="19"/>
      <c r="AB79" s="67"/>
      <c r="AC79" s="8"/>
      <c r="AD79" s="8"/>
    </row>
    <row r="80" spans="1:32" s="23" customFormat="1" ht="48" hidden="1" customHeight="1">
      <c r="A80" s="66">
        <v>33</v>
      </c>
      <c r="B80" s="30" t="s">
        <v>62</v>
      </c>
      <c r="C80" s="17" t="s">
        <v>17</v>
      </c>
      <c r="D80" s="17"/>
      <c r="E80" s="29"/>
      <c r="F80" s="29"/>
      <c r="G80" s="19"/>
      <c r="H80" s="21"/>
      <c r="I80" s="22"/>
      <c r="J80" s="22"/>
      <c r="K80" s="22"/>
      <c r="L80" s="27"/>
      <c r="M80" s="28"/>
      <c r="N80" s="22"/>
      <c r="O80" s="22"/>
      <c r="P80" s="20"/>
      <c r="Q80" s="22"/>
      <c r="R80" s="22"/>
      <c r="S80" s="22"/>
      <c r="T80" s="20"/>
      <c r="U80" s="19"/>
      <c r="V80" s="19"/>
      <c r="W80" s="19"/>
      <c r="X80" s="20"/>
      <c r="Y80" s="87"/>
      <c r="Z80" s="13"/>
      <c r="AA80" s="19"/>
      <c r="AB80" s="67"/>
      <c r="AC80" s="8"/>
      <c r="AD80" s="8"/>
    </row>
    <row r="81" spans="1:33" s="23" customFormat="1" ht="65.25" hidden="1" customHeight="1">
      <c r="A81" s="66"/>
      <c r="B81" s="30" t="s">
        <v>72</v>
      </c>
      <c r="C81" s="17"/>
      <c r="D81" s="17"/>
      <c r="E81" s="29"/>
      <c r="F81" s="29"/>
      <c r="G81" s="19"/>
      <c r="H81" s="21"/>
      <c r="I81" s="22"/>
      <c r="J81" s="22"/>
      <c r="K81" s="22"/>
      <c r="L81" s="27"/>
      <c r="M81" s="28"/>
      <c r="N81" s="22"/>
      <c r="O81" s="22"/>
      <c r="P81" s="20"/>
      <c r="Q81" s="22"/>
      <c r="R81" s="22"/>
      <c r="S81" s="22"/>
      <c r="T81" s="20"/>
      <c r="U81" s="19"/>
      <c r="V81" s="19"/>
      <c r="W81" s="29"/>
      <c r="X81" s="29"/>
      <c r="Y81" s="87"/>
      <c r="Z81" s="13"/>
      <c r="AA81" s="19"/>
      <c r="AB81" s="67"/>
      <c r="AC81" s="8"/>
      <c r="AD81" s="8"/>
    </row>
    <row r="82" spans="1:33" s="23" customFormat="1" ht="47.25" customHeight="1">
      <c r="A82" s="66">
        <v>16</v>
      </c>
      <c r="B82" s="26" t="s">
        <v>151</v>
      </c>
      <c r="C82" s="17" t="s">
        <v>17</v>
      </c>
      <c r="D82" s="17"/>
      <c r="E82" s="29">
        <v>9.6470000000000002</v>
      </c>
      <c r="F82" s="29"/>
      <c r="G82" s="19">
        <f>Y82+AB82</f>
        <v>251000</v>
      </c>
      <c r="H82" s="21"/>
      <c r="I82" s="22"/>
      <c r="J82" s="22"/>
      <c r="K82" s="22"/>
      <c r="L82" s="27"/>
      <c r="M82" s="28"/>
      <c r="N82" s="22"/>
      <c r="O82" s="22"/>
      <c r="P82" s="20"/>
      <c r="Q82" s="22"/>
      <c r="R82" s="22"/>
      <c r="S82" s="22"/>
      <c r="T82" s="20"/>
      <c r="U82" s="19"/>
      <c r="V82" s="19"/>
      <c r="W82" s="20"/>
      <c r="X82" s="20"/>
      <c r="Y82" s="87">
        <v>110000</v>
      </c>
      <c r="Z82" s="20">
        <f>E82</f>
        <v>9.6470000000000002</v>
      </c>
      <c r="AA82" s="19"/>
      <c r="AB82" s="67">
        <v>141000</v>
      </c>
      <c r="AC82" s="8"/>
      <c r="AD82" s="8"/>
    </row>
    <row r="83" spans="1:33" s="23" customFormat="1" ht="33.75" customHeight="1">
      <c r="A83" s="143" t="s">
        <v>123</v>
      </c>
      <c r="B83" s="144"/>
      <c r="C83" s="144"/>
      <c r="D83" s="116"/>
      <c r="E83" s="14">
        <f>SUM(E80:E82)</f>
        <v>9.6470000000000002</v>
      </c>
      <c r="F83" s="14"/>
      <c r="G83" s="13">
        <f>SUM(G80:G82)</f>
        <v>251000</v>
      </c>
      <c r="H83" s="14" t="e">
        <f>SUM(#REF!)</f>
        <v>#REF!</v>
      </c>
      <c r="I83" s="15" t="e">
        <f>SUM(#REF!)</f>
        <v>#REF!</v>
      </c>
      <c r="J83" s="15" t="e">
        <f>SUM(#REF!)</f>
        <v>#REF!</v>
      </c>
      <c r="K83" s="15"/>
      <c r="L83" s="14" t="e">
        <f>SUM(#REF!)</f>
        <v>#REF!</v>
      </c>
      <c r="M83" s="15" t="e">
        <f>SUM(#REF!)</f>
        <v>#REF!</v>
      </c>
      <c r="N83" s="15" t="e">
        <f>SUM(#REF!)</f>
        <v>#REF!</v>
      </c>
      <c r="O83" s="15"/>
      <c r="P83" s="14">
        <f>SUM(P80:P80)</f>
        <v>0</v>
      </c>
      <c r="Q83" s="15">
        <f>SUM(Q80:Q80)</f>
        <v>0</v>
      </c>
      <c r="R83" s="15">
        <f>SUM(R80:R80)</f>
        <v>0</v>
      </c>
      <c r="S83" s="15">
        <f>SUM(S80:S80)</f>
        <v>0</v>
      </c>
      <c r="T83" s="14"/>
      <c r="U83" s="13"/>
      <c r="V83" s="13">
        <f>SUM(V80:V82)</f>
        <v>0</v>
      </c>
      <c r="W83" s="13">
        <f>SUM(W81:W82)</f>
        <v>0</v>
      </c>
      <c r="X83" s="14"/>
      <c r="Y83" s="85">
        <f>SUM(Y81:Y82)</f>
        <v>110000</v>
      </c>
      <c r="Z83" s="13">
        <f>SUM(Z81:Z82)</f>
        <v>9.6470000000000002</v>
      </c>
      <c r="AA83" s="14"/>
      <c r="AB83" s="65">
        <f>SUM(AB81:AB82)</f>
        <v>141000</v>
      </c>
      <c r="AC83" s="8"/>
      <c r="AD83" s="8"/>
      <c r="AF83" s="110">
        <f>T83+W83+Z83</f>
        <v>9.6470000000000002</v>
      </c>
    </row>
    <row r="84" spans="1:33" s="23" customFormat="1" ht="29.25" customHeight="1">
      <c r="A84" s="145" t="s">
        <v>32</v>
      </c>
      <c r="B84" s="146"/>
      <c r="C84" s="146"/>
      <c r="D84" s="146"/>
      <c r="E84" s="146"/>
      <c r="F84" s="118"/>
      <c r="G84" s="13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9"/>
      <c r="V84" s="19"/>
      <c r="W84" s="19"/>
      <c r="X84" s="17"/>
      <c r="Y84" s="87"/>
      <c r="Z84" s="13"/>
      <c r="AA84" s="19"/>
      <c r="AB84" s="67"/>
      <c r="AC84" s="8"/>
      <c r="AD84" s="8"/>
    </row>
    <row r="85" spans="1:33" s="23" customFormat="1" ht="46.5" customHeight="1">
      <c r="A85" s="66">
        <v>17</v>
      </c>
      <c r="B85" s="30" t="s">
        <v>104</v>
      </c>
      <c r="C85" s="17" t="s">
        <v>17</v>
      </c>
      <c r="D85" s="17"/>
      <c r="E85" s="29">
        <f>8.3-5.2</f>
        <v>3.1000000000000005</v>
      </c>
      <c r="F85" s="29"/>
      <c r="G85" s="19">
        <f>((204501.7*1.2)*1.091*1.084*1.073)/11.8*3.1</f>
        <v>81810.982806737607</v>
      </c>
      <c r="H85" s="21"/>
      <c r="I85" s="22"/>
      <c r="J85" s="22"/>
      <c r="K85" s="22"/>
      <c r="L85" s="27"/>
      <c r="M85" s="28"/>
      <c r="N85" s="22"/>
      <c r="O85" s="22" t="s">
        <v>21</v>
      </c>
      <c r="P85" s="27"/>
      <c r="Q85" s="28"/>
      <c r="R85" s="22"/>
      <c r="S85" s="22"/>
      <c r="T85" s="20"/>
      <c r="U85" s="19"/>
      <c r="V85" s="19"/>
      <c r="W85" s="29">
        <f>E85</f>
        <v>3.1000000000000005</v>
      </c>
      <c r="X85" s="20"/>
      <c r="Y85" s="87">
        <f>G85</f>
        <v>81810.982806737607</v>
      </c>
      <c r="Z85" s="13"/>
      <c r="AA85" s="19"/>
      <c r="AB85" s="67"/>
      <c r="AC85" s="8"/>
      <c r="AD85" s="8"/>
    </row>
    <row r="86" spans="1:33" s="23" customFormat="1" ht="37.5" customHeight="1">
      <c r="A86" s="143" t="s">
        <v>124</v>
      </c>
      <c r="B86" s="144"/>
      <c r="C86" s="33"/>
      <c r="D86" s="33"/>
      <c r="E86" s="14">
        <f>SUM(E85:E85)</f>
        <v>3.1000000000000005</v>
      </c>
      <c r="F86" s="14"/>
      <c r="G86" s="13">
        <f>SUM(G85:G85)</f>
        <v>81810.982806737607</v>
      </c>
      <c r="H86" s="14" t="e">
        <f>SUM(#REF!)</f>
        <v>#REF!</v>
      </c>
      <c r="I86" s="15" t="e">
        <f>SUM(#REF!)</f>
        <v>#REF!</v>
      </c>
      <c r="J86" s="15" t="e">
        <f>SUM(#REF!)</f>
        <v>#REF!</v>
      </c>
      <c r="K86" s="15"/>
      <c r="L86" s="14" t="e">
        <f>SUM(#REF!)</f>
        <v>#REF!</v>
      </c>
      <c r="M86" s="15" t="e">
        <f>SUM(#REF!)</f>
        <v>#REF!</v>
      </c>
      <c r="N86" s="15" t="e">
        <f>SUM(#REF!)</f>
        <v>#REF!</v>
      </c>
      <c r="O86" s="15"/>
      <c r="P86" s="14">
        <f>SUM(P85:P85)</f>
        <v>0</v>
      </c>
      <c r="Q86" s="15">
        <f>SUM(Q85:Q85)</f>
        <v>0</v>
      </c>
      <c r="R86" s="15">
        <f>SUM(R85:R85)</f>
        <v>0</v>
      </c>
      <c r="S86" s="15"/>
      <c r="T86" s="14">
        <f>SUM(T85:T85)</f>
        <v>0</v>
      </c>
      <c r="U86" s="13">
        <f>SUM(U85:U85)</f>
        <v>0</v>
      </c>
      <c r="V86" s="13">
        <f>SUM(V85:V85)</f>
        <v>0</v>
      </c>
      <c r="W86" s="13">
        <f>W85</f>
        <v>3.1000000000000005</v>
      </c>
      <c r="X86" s="14"/>
      <c r="Y86" s="85">
        <f>Y85</f>
        <v>81810.982806737607</v>
      </c>
      <c r="Z86" s="13"/>
      <c r="AA86" s="13"/>
      <c r="AB86" s="65"/>
      <c r="AC86" s="8"/>
      <c r="AD86" s="8"/>
      <c r="AF86" s="110">
        <f>T86+W86+Z86</f>
        <v>3.1000000000000005</v>
      </c>
    </row>
    <row r="87" spans="1:33" s="23" customFormat="1" ht="27" customHeight="1">
      <c r="A87" s="145" t="s">
        <v>33</v>
      </c>
      <c r="B87" s="146"/>
      <c r="C87" s="146"/>
      <c r="D87" s="146"/>
      <c r="E87" s="146"/>
      <c r="F87" s="118"/>
      <c r="G87" s="13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9"/>
      <c r="V87" s="19"/>
      <c r="W87" s="19"/>
      <c r="X87" s="17"/>
      <c r="Y87" s="87"/>
      <c r="Z87" s="13"/>
      <c r="AA87" s="19"/>
      <c r="AB87" s="67"/>
      <c r="AC87" s="8"/>
      <c r="AD87" s="8"/>
    </row>
    <row r="88" spans="1:33" s="23" customFormat="1" ht="63" customHeight="1">
      <c r="A88" s="66">
        <v>18</v>
      </c>
      <c r="B88" s="30" t="s">
        <v>105</v>
      </c>
      <c r="C88" s="17" t="s">
        <v>17</v>
      </c>
      <c r="D88" s="17"/>
      <c r="E88" s="29">
        <v>3.5</v>
      </c>
      <c r="F88" s="29"/>
      <c r="G88" s="19">
        <f>65201.11*1.2*1.073+0.05076</f>
        <v>83952.999995999984</v>
      </c>
      <c r="H88" s="31"/>
      <c r="I88" s="31"/>
      <c r="J88" s="22"/>
      <c r="K88" s="22"/>
      <c r="L88" s="27"/>
      <c r="M88" s="28"/>
      <c r="N88" s="22"/>
      <c r="O88" s="22"/>
      <c r="P88" s="27"/>
      <c r="Q88" s="28"/>
      <c r="R88" s="22"/>
      <c r="S88" s="22"/>
      <c r="T88" s="20"/>
      <c r="U88" s="19"/>
      <c r="V88" s="19"/>
      <c r="W88" s="29">
        <f>E88</f>
        <v>3.5</v>
      </c>
      <c r="X88" s="20"/>
      <c r="Y88" s="87">
        <f>G88</f>
        <v>83952.999995999984</v>
      </c>
      <c r="Z88" s="13"/>
      <c r="AA88" s="19"/>
      <c r="AB88" s="67"/>
      <c r="AC88" s="8"/>
      <c r="AD88" s="8"/>
    </row>
    <row r="89" spans="1:33" s="23" customFormat="1" ht="30.75" customHeight="1">
      <c r="A89" s="143" t="s">
        <v>125</v>
      </c>
      <c r="B89" s="144"/>
      <c r="C89" s="33"/>
      <c r="D89" s="33"/>
      <c r="E89" s="14">
        <f>E88</f>
        <v>3.5</v>
      </c>
      <c r="F89" s="14"/>
      <c r="G89" s="13">
        <f>G88</f>
        <v>83952.999995999984</v>
      </c>
      <c r="H89" s="14"/>
      <c r="I89" s="15"/>
      <c r="J89" s="15"/>
      <c r="K89" s="15"/>
      <c r="L89" s="14"/>
      <c r="M89" s="15"/>
      <c r="N89" s="15"/>
      <c r="O89" s="15"/>
      <c r="P89" s="14"/>
      <c r="Q89" s="15"/>
      <c r="R89" s="15"/>
      <c r="S89" s="15"/>
      <c r="T89" s="14"/>
      <c r="U89" s="13"/>
      <c r="V89" s="13"/>
      <c r="W89" s="14">
        <f>W88</f>
        <v>3.5</v>
      </c>
      <c r="X89" s="14"/>
      <c r="Y89" s="85">
        <f>Y88</f>
        <v>83952.999995999984</v>
      </c>
      <c r="Z89" s="13"/>
      <c r="AA89" s="13"/>
      <c r="AB89" s="65"/>
      <c r="AC89" s="8"/>
      <c r="AD89" s="8"/>
      <c r="AF89" s="110">
        <f>T89+W89+Z89</f>
        <v>3.5</v>
      </c>
    </row>
    <row r="90" spans="1:33" s="23" customFormat="1" ht="31.5" customHeight="1">
      <c r="A90" s="145" t="s">
        <v>63</v>
      </c>
      <c r="B90" s="146"/>
      <c r="C90" s="146"/>
      <c r="D90" s="146"/>
      <c r="E90" s="146"/>
      <c r="F90" s="118"/>
      <c r="G90" s="13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9"/>
      <c r="V90" s="19"/>
      <c r="W90" s="19"/>
      <c r="X90" s="17"/>
      <c r="Y90" s="87"/>
      <c r="Z90" s="13"/>
      <c r="AA90" s="19"/>
      <c r="AB90" s="67"/>
      <c r="AC90" s="8"/>
      <c r="AD90" s="8"/>
    </row>
    <row r="91" spans="1:33" s="23" customFormat="1" ht="56.25" hidden="1" customHeight="1">
      <c r="A91" s="66">
        <v>56</v>
      </c>
      <c r="B91" s="30" t="s">
        <v>64</v>
      </c>
      <c r="C91" s="17" t="s">
        <v>17</v>
      </c>
      <c r="D91" s="17"/>
      <c r="E91" s="29"/>
      <c r="F91" s="29"/>
      <c r="G91" s="19"/>
      <c r="H91" s="21"/>
      <c r="I91" s="22"/>
      <c r="J91" s="22"/>
      <c r="K91" s="22"/>
      <c r="L91" s="20"/>
      <c r="M91" s="22"/>
      <c r="N91" s="22"/>
      <c r="O91" s="22"/>
      <c r="P91" s="20" t="s">
        <v>21</v>
      </c>
      <c r="Q91" s="22" t="s">
        <v>21</v>
      </c>
      <c r="R91" s="22"/>
      <c r="S91" s="22"/>
      <c r="T91" s="20"/>
      <c r="U91" s="19"/>
      <c r="V91" s="19"/>
      <c r="W91" s="19"/>
      <c r="X91" s="20"/>
      <c r="Y91" s="87"/>
      <c r="Z91" s="13"/>
      <c r="AA91" s="19"/>
      <c r="AB91" s="67"/>
      <c r="AC91" s="8"/>
      <c r="AD91" s="8"/>
    </row>
    <row r="92" spans="1:33" s="23" customFormat="1" ht="61.5" customHeight="1">
      <c r="A92" s="66">
        <v>19</v>
      </c>
      <c r="B92" s="30" t="s">
        <v>65</v>
      </c>
      <c r="C92" s="17" t="s">
        <v>17</v>
      </c>
      <c r="D92" s="17"/>
      <c r="E92" s="29">
        <v>9.5</v>
      </c>
      <c r="F92" s="29"/>
      <c r="G92" s="19">
        <v>235820.76863000001</v>
      </c>
      <c r="H92" s="21"/>
      <c r="I92" s="22"/>
      <c r="J92" s="22"/>
      <c r="K92" s="22"/>
      <c r="L92" s="20"/>
      <c r="M92" s="22"/>
      <c r="N92" s="22"/>
      <c r="O92" s="22"/>
      <c r="P92" s="20" t="s">
        <v>21</v>
      </c>
      <c r="Q92" s="22"/>
      <c r="R92" s="22"/>
      <c r="S92" s="22"/>
      <c r="T92" s="20">
        <f>E92</f>
        <v>9.5</v>
      </c>
      <c r="U92" s="19"/>
      <c r="V92" s="19">
        <v>35333.852140000003</v>
      </c>
      <c r="W92" s="19"/>
      <c r="X92" s="20"/>
      <c r="Y92" s="88"/>
      <c r="Z92" s="13"/>
      <c r="AA92" s="19"/>
      <c r="AB92" s="67"/>
      <c r="AC92" s="8"/>
      <c r="AD92" s="8"/>
      <c r="AG92" s="100">
        <f>G92-V92</f>
        <v>200486.91649</v>
      </c>
    </row>
    <row r="93" spans="1:33" s="23" customFormat="1" ht="53.25" hidden="1" customHeight="1">
      <c r="A93" s="66"/>
      <c r="B93" s="30" t="s">
        <v>94</v>
      </c>
      <c r="C93" s="17"/>
      <c r="D93" s="17"/>
      <c r="E93" s="29"/>
      <c r="F93" s="29"/>
      <c r="G93" s="19"/>
      <c r="H93" s="21"/>
      <c r="I93" s="22"/>
      <c r="J93" s="22"/>
      <c r="K93" s="22"/>
      <c r="L93" s="20"/>
      <c r="M93" s="22"/>
      <c r="N93" s="22"/>
      <c r="O93" s="22"/>
      <c r="P93" s="20"/>
      <c r="Q93" s="22"/>
      <c r="R93" s="22"/>
      <c r="S93" s="22"/>
      <c r="T93" s="20"/>
      <c r="U93" s="19"/>
      <c r="V93" s="24"/>
      <c r="W93" s="20"/>
      <c r="X93" s="20"/>
      <c r="Y93" s="88"/>
      <c r="Z93" s="13"/>
      <c r="AA93" s="19"/>
      <c r="AB93" s="67"/>
      <c r="AC93" s="8"/>
      <c r="AD93" s="8"/>
    </row>
    <row r="94" spans="1:33" s="23" customFormat="1" ht="34.5" customHeight="1">
      <c r="A94" s="66">
        <v>20</v>
      </c>
      <c r="B94" s="26" t="s">
        <v>43</v>
      </c>
      <c r="C94" s="17" t="s">
        <v>17</v>
      </c>
      <c r="D94" s="17"/>
      <c r="E94" s="21">
        <v>7.6</v>
      </c>
      <c r="F94" s="21"/>
      <c r="G94" s="19">
        <v>200815.57909000001</v>
      </c>
      <c r="H94" s="21"/>
      <c r="I94" s="22"/>
      <c r="J94" s="22"/>
      <c r="K94" s="22"/>
      <c r="L94" s="20"/>
      <c r="M94" s="22"/>
      <c r="N94" s="22"/>
      <c r="O94" s="22"/>
      <c r="P94" s="20"/>
      <c r="Q94" s="22"/>
      <c r="R94" s="22"/>
      <c r="S94" s="22"/>
      <c r="T94" s="20"/>
      <c r="U94" s="19"/>
      <c r="V94" s="19"/>
      <c r="W94" s="21">
        <f>E94</f>
        <v>7.6</v>
      </c>
      <c r="X94" s="20"/>
      <c r="Y94" s="87">
        <f>G94</f>
        <v>200815.57909000001</v>
      </c>
      <c r="Z94" s="20"/>
      <c r="AA94" s="19"/>
      <c r="AB94" s="67"/>
      <c r="AC94" s="8"/>
      <c r="AD94" s="8"/>
    </row>
    <row r="95" spans="1:33" s="23" customFormat="1" ht="30.75" customHeight="1">
      <c r="A95" s="143" t="s">
        <v>126</v>
      </c>
      <c r="B95" s="144"/>
      <c r="C95" s="33"/>
      <c r="D95" s="33"/>
      <c r="E95" s="14">
        <f>SUM(E91:E94)</f>
        <v>17.100000000000001</v>
      </c>
      <c r="F95" s="14"/>
      <c r="G95" s="13">
        <f>SUM(G91:G94)</f>
        <v>436636.34772000002</v>
      </c>
      <c r="H95" s="14">
        <f>SUM(H91:H92)</f>
        <v>0</v>
      </c>
      <c r="I95" s="15">
        <f>SUM(I91:I92)</f>
        <v>0</v>
      </c>
      <c r="J95" s="15">
        <f>SUM(J91:J92)</f>
        <v>0</v>
      </c>
      <c r="K95" s="15"/>
      <c r="L95" s="14">
        <f>SUM(L91:L92)</f>
        <v>0</v>
      </c>
      <c r="M95" s="15">
        <f>SUM(M91:M92)</f>
        <v>0</v>
      </c>
      <c r="N95" s="15">
        <f>SUM(N91:N92)</f>
        <v>0</v>
      </c>
      <c r="O95" s="15"/>
      <c r="P95" s="14">
        <f t="shared" ref="P95:V95" si="6">SUM(P91:P92)</f>
        <v>0</v>
      </c>
      <c r="Q95" s="15">
        <f t="shared" si="6"/>
        <v>0</v>
      </c>
      <c r="R95" s="15">
        <f t="shared" si="6"/>
        <v>0</v>
      </c>
      <c r="S95" s="15">
        <f t="shared" si="6"/>
        <v>0</v>
      </c>
      <c r="T95" s="14">
        <f t="shared" si="6"/>
        <v>9.5</v>
      </c>
      <c r="U95" s="13">
        <f t="shared" si="6"/>
        <v>0</v>
      </c>
      <c r="V95" s="13">
        <f t="shared" si="6"/>
        <v>35333.852140000003</v>
      </c>
      <c r="W95" s="13">
        <f>SUM(W93:W94)</f>
        <v>7.6</v>
      </c>
      <c r="X95" s="14"/>
      <c r="Y95" s="85">
        <f>SUM(Y93:Y94)</f>
        <v>200815.57909000001</v>
      </c>
      <c r="Z95" s="13">
        <f>SUM(Z93:Z94)</f>
        <v>0</v>
      </c>
      <c r="AA95" s="14"/>
      <c r="AB95" s="65">
        <f>SUM(AB93:AB94)</f>
        <v>0</v>
      </c>
      <c r="AC95" s="8"/>
      <c r="AD95" s="8"/>
      <c r="AF95" s="110">
        <f>T95+W95+Z95</f>
        <v>17.100000000000001</v>
      </c>
    </row>
    <row r="96" spans="1:33" s="23" customFormat="1" ht="34.5" customHeight="1">
      <c r="A96" s="145" t="s">
        <v>34</v>
      </c>
      <c r="B96" s="146"/>
      <c r="C96" s="146"/>
      <c r="D96" s="146"/>
      <c r="E96" s="146"/>
      <c r="F96" s="118"/>
      <c r="G96" s="13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9"/>
      <c r="V96" s="19"/>
      <c r="W96" s="19"/>
      <c r="X96" s="17"/>
      <c r="Y96" s="87"/>
      <c r="Z96" s="13"/>
      <c r="AA96" s="19"/>
      <c r="AB96" s="67"/>
      <c r="AC96" s="8"/>
      <c r="AD96" s="8"/>
    </row>
    <row r="97" spans="1:36" s="23" customFormat="1" ht="53.25" hidden="1" customHeight="1" thickBot="1">
      <c r="A97" s="66">
        <v>55</v>
      </c>
      <c r="B97" s="30" t="s">
        <v>66</v>
      </c>
      <c r="C97" s="17" t="s">
        <v>17</v>
      </c>
      <c r="D97" s="17"/>
      <c r="E97" s="29"/>
      <c r="F97" s="29"/>
      <c r="G97" s="19"/>
      <c r="H97" s="21"/>
      <c r="I97" s="22"/>
      <c r="J97" s="22"/>
      <c r="K97" s="22"/>
      <c r="L97" s="27"/>
      <c r="M97" s="28"/>
      <c r="N97" s="22"/>
      <c r="O97" s="22"/>
      <c r="P97" s="20"/>
      <c r="Q97" s="22"/>
      <c r="R97" s="22"/>
      <c r="S97" s="22"/>
      <c r="T97" s="20"/>
      <c r="U97" s="19"/>
      <c r="V97" s="19"/>
      <c r="W97" s="19"/>
      <c r="X97" s="20"/>
      <c r="Y97" s="87"/>
      <c r="Z97" s="13"/>
      <c r="AA97" s="19"/>
      <c r="AB97" s="67"/>
      <c r="AC97" s="8"/>
      <c r="AD97" s="8"/>
    </row>
    <row r="98" spans="1:36" s="23" customFormat="1" ht="43.5" customHeight="1">
      <c r="A98" s="66">
        <v>21</v>
      </c>
      <c r="B98" s="30" t="s">
        <v>67</v>
      </c>
      <c r="C98" s="17" t="s">
        <v>17</v>
      </c>
      <c r="D98" s="17"/>
      <c r="E98" s="29">
        <v>11.4</v>
      </c>
      <c r="F98" s="29"/>
      <c r="G98" s="19">
        <v>393384.93049</v>
      </c>
      <c r="H98" s="21"/>
      <c r="I98" s="22"/>
      <c r="J98" s="22"/>
      <c r="K98" s="22"/>
      <c r="L98" s="27"/>
      <c r="M98" s="28"/>
      <c r="N98" s="22"/>
      <c r="O98" s="22"/>
      <c r="P98" s="20"/>
      <c r="Q98" s="22"/>
      <c r="R98" s="22"/>
      <c r="S98" s="22"/>
      <c r="T98" s="20">
        <f>E98</f>
        <v>11.4</v>
      </c>
      <c r="U98" s="19"/>
      <c r="V98" s="19">
        <v>80834.538799999995</v>
      </c>
      <c r="W98" s="19"/>
      <c r="X98" s="20"/>
      <c r="Y98" s="88"/>
      <c r="Z98" s="13"/>
      <c r="AA98" s="19"/>
      <c r="AB98" s="67"/>
      <c r="AC98" s="8"/>
      <c r="AD98" s="8"/>
      <c r="AG98" s="100">
        <f>G98-V98</f>
        <v>312550.39169000002</v>
      </c>
    </row>
    <row r="99" spans="1:36" s="23" customFormat="1" ht="43.5" customHeight="1">
      <c r="A99" s="66">
        <v>22</v>
      </c>
      <c r="B99" s="30" t="s">
        <v>80</v>
      </c>
      <c r="C99" s="17" t="s">
        <v>17</v>
      </c>
      <c r="D99" s="17"/>
      <c r="E99" s="29">
        <f>5.6-0.13</f>
        <v>5.47</v>
      </c>
      <c r="F99" s="29"/>
      <c r="G99" s="19">
        <v>152860.20000000001</v>
      </c>
      <c r="H99" s="21"/>
      <c r="I99" s="22"/>
      <c r="J99" s="22"/>
      <c r="K99" s="22"/>
      <c r="L99" s="27"/>
      <c r="M99" s="28"/>
      <c r="N99" s="22"/>
      <c r="O99" s="22"/>
      <c r="P99" s="20"/>
      <c r="Q99" s="22"/>
      <c r="R99" s="22"/>
      <c r="S99" s="22"/>
      <c r="T99" s="20">
        <f>E99</f>
        <v>5.47</v>
      </c>
      <c r="U99" s="19"/>
      <c r="V99" s="19">
        <f>G99</f>
        <v>152860.20000000001</v>
      </c>
      <c r="W99" s="19"/>
      <c r="X99" s="20"/>
      <c r="Y99" s="87"/>
      <c r="Z99" s="13"/>
      <c r="AA99" s="19"/>
      <c r="AB99" s="67"/>
      <c r="AC99" s="8"/>
      <c r="AD99" s="8"/>
      <c r="AJ99" s="23" t="s">
        <v>19</v>
      </c>
    </row>
    <row r="100" spans="1:36" s="23" customFormat="1" ht="30" customHeight="1">
      <c r="A100" s="66">
        <v>23</v>
      </c>
      <c r="B100" s="30" t="s">
        <v>152</v>
      </c>
      <c r="C100" s="17" t="s">
        <v>17</v>
      </c>
      <c r="D100" s="17"/>
      <c r="E100" s="29">
        <f>W100+Z100</f>
        <v>19.8</v>
      </c>
      <c r="F100" s="29"/>
      <c r="G100" s="19">
        <f>Y100+AB100</f>
        <v>1178000</v>
      </c>
      <c r="H100" s="21"/>
      <c r="I100" s="22"/>
      <c r="J100" s="22"/>
      <c r="K100" s="22"/>
      <c r="L100" s="27"/>
      <c r="M100" s="28"/>
      <c r="N100" s="22"/>
      <c r="O100" s="22"/>
      <c r="P100" s="20"/>
      <c r="Q100" s="22"/>
      <c r="R100" s="22"/>
      <c r="S100" s="22"/>
      <c r="T100" s="20"/>
      <c r="U100" s="19"/>
      <c r="V100" s="19"/>
      <c r="W100" s="20">
        <v>7.2</v>
      </c>
      <c r="X100" s="20"/>
      <c r="Y100" s="87">
        <v>428000</v>
      </c>
      <c r="Z100" s="20">
        <v>12.6</v>
      </c>
      <c r="AA100" s="19"/>
      <c r="AB100" s="67">
        <v>750000</v>
      </c>
      <c r="AC100" s="8"/>
      <c r="AD100" s="8"/>
    </row>
    <row r="101" spans="1:36" s="23" customFormat="1" ht="68.25" hidden="1" customHeight="1">
      <c r="A101" s="66">
        <v>62</v>
      </c>
      <c r="B101" s="30" t="s">
        <v>68</v>
      </c>
      <c r="C101" s="17" t="s">
        <v>17</v>
      </c>
      <c r="D101" s="17"/>
      <c r="E101" s="29"/>
      <c r="F101" s="29"/>
      <c r="G101" s="19"/>
      <c r="H101" s="21"/>
      <c r="I101" s="22"/>
      <c r="J101" s="22"/>
      <c r="K101" s="22"/>
      <c r="L101" s="27"/>
      <c r="M101" s="28"/>
      <c r="N101" s="22"/>
      <c r="O101" s="22"/>
      <c r="P101" s="20"/>
      <c r="Q101" s="22"/>
      <c r="R101" s="22"/>
      <c r="S101" s="22"/>
      <c r="T101" s="20"/>
      <c r="U101" s="19"/>
      <c r="V101" s="19"/>
      <c r="W101" s="20"/>
      <c r="X101" s="20"/>
      <c r="Y101" s="87"/>
      <c r="Z101" s="13"/>
      <c r="AA101" s="19"/>
      <c r="AB101" s="67"/>
      <c r="AC101" s="8"/>
      <c r="AD101" s="8"/>
    </row>
    <row r="102" spans="1:36" s="23" customFormat="1" ht="43.5" customHeight="1">
      <c r="A102" s="66">
        <v>24</v>
      </c>
      <c r="B102" s="30" t="s">
        <v>153</v>
      </c>
      <c r="C102" s="17" t="s">
        <v>17</v>
      </c>
      <c r="D102" s="17"/>
      <c r="E102" s="29">
        <v>5.5</v>
      </c>
      <c r="F102" s="29"/>
      <c r="G102" s="19">
        <v>302500</v>
      </c>
      <c r="H102" s="21"/>
      <c r="I102" s="22"/>
      <c r="J102" s="22"/>
      <c r="K102" s="22"/>
      <c r="L102" s="27"/>
      <c r="M102" s="28"/>
      <c r="N102" s="22"/>
      <c r="O102" s="22"/>
      <c r="P102" s="20"/>
      <c r="Q102" s="22"/>
      <c r="R102" s="22"/>
      <c r="S102" s="22"/>
      <c r="T102" s="20"/>
      <c r="U102" s="19"/>
      <c r="V102" s="19"/>
      <c r="W102" s="20"/>
      <c r="X102" s="20"/>
      <c r="Y102" s="87"/>
      <c r="Z102" s="20">
        <f>E102</f>
        <v>5.5</v>
      </c>
      <c r="AA102" s="19"/>
      <c r="AB102" s="67">
        <f>G102</f>
        <v>302500</v>
      </c>
      <c r="AC102" s="8"/>
      <c r="AD102" s="8"/>
    </row>
    <row r="103" spans="1:36" s="23" customFormat="1" ht="43.5" hidden="1" customHeight="1">
      <c r="A103" s="66"/>
      <c r="B103" s="30" t="s">
        <v>96</v>
      </c>
      <c r="C103" s="17" t="s">
        <v>17</v>
      </c>
      <c r="D103" s="17"/>
      <c r="E103" s="29"/>
      <c r="F103" s="29"/>
      <c r="G103" s="19"/>
      <c r="H103" s="21"/>
      <c r="I103" s="22"/>
      <c r="J103" s="22"/>
      <c r="K103" s="22"/>
      <c r="L103" s="27"/>
      <c r="M103" s="28"/>
      <c r="N103" s="22"/>
      <c r="O103" s="22"/>
      <c r="P103" s="20"/>
      <c r="Q103" s="22"/>
      <c r="R103" s="22"/>
      <c r="S103" s="22"/>
      <c r="T103" s="20"/>
      <c r="U103" s="19"/>
      <c r="V103" s="19"/>
      <c r="W103" s="20"/>
      <c r="X103" s="20"/>
      <c r="Y103" s="87"/>
      <c r="Z103" s="13"/>
      <c r="AA103" s="19"/>
      <c r="AB103" s="67"/>
      <c r="AC103" s="8"/>
      <c r="AD103" s="8"/>
    </row>
    <row r="104" spans="1:36" s="23" customFormat="1" ht="47.25" hidden="1" customHeight="1" thickBot="1">
      <c r="A104" s="66"/>
      <c r="B104" s="30" t="s">
        <v>97</v>
      </c>
      <c r="C104" s="17" t="s">
        <v>17</v>
      </c>
      <c r="D104" s="17"/>
      <c r="E104" s="29">
        <v>10</v>
      </c>
      <c r="F104" s="29"/>
      <c r="G104" s="19">
        <v>275310</v>
      </c>
      <c r="H104" s="21"/>
      <c r="I104" s="22"/>
      <c r="J104" s="22"/>
      <c r="K104" s="22"/>
      <c r="L104" s="27"/>
      <c r="M104" s="28"/>
      <c r="N104" s="22"/>
      <c r="O104" s="22"/>
      <c r="P104" s="20"/>
      <c r="Q104" s="22"/>
      <c r="R104" s="22"/>
      <c r="S104" s="22"/>
      <c r="T104" s="20"/>
      <c r="U104" s="19"/>
      <c r="V104" s="19"/>
      <c r="W104" s="20"/>
      <c r="X104" s="20"/>
      <c r="Y104" s="87"/>
      <c r="Z104" s="13"/>
      <c r="AA104" s="19"/>
      <c r="AB104" s="67"/>
      <c r="AC104" s="8"/>
      <c r="AD104" s="8"/>
    </row>
    <row r="105" spans="1:36" s="23" customFormat="1" ht="28.5" customHeight="1">
      <c r="A105" s="143" t="s">
        <v>127</v>
      </c>
      <c r="B105" s="144"/>
      <c r="C105" s="144"/>
      <c r="D105" s="116"/>
      <c r="E105" s="13">
        <f>SUM(E98:E102)</f>
        <v>42.17</v>
      </c>
      <c r="F105" s="13"/>
      <c r="G105" s="13">
        <f>SUM(G98:G102)</f>
        <v>2026745.1304899999</v>
      </c>
      <c r="H105" s="14" t="e">
        <f>SUM(#REF!)</f>
        <v>#REF!</v>
      </c>
      <c r="I105" s="15" t="e">
        <f>SUM(#REF!)</f>
        <v>#REF!</v>
      </c>
      <c r="J105" s="15" t="e">
        <f>SUM(#REF!)</f>
        <v>#REF!</v>
      </c>
      <c r="K105" s="15"/>
      <c r="L105" s="14" t="e">
        <f>SUM(#REF!)</f>
        <v>#REF!</v>
      </c>
      <c r="M105" s="15" t="e">
        <f>SUM(#REF!)</f>
        <v>#REF!</v>
      </c>
      <c r="N105" s="15" t="e">
        <f>SUM(#REF!)</f>
        <v>#REF!</v>
      </c>
      <c r="O105" s="15" t="e">
        <f>SUM(#REF!)</f>
        <v>#REF!</v>
      </c>
      <c r="P105" s="13">
        <f>SUM(P97:P100)</f>
        <v>0</v>
      </c>
      <c r="Q105" s="15">
        <f>SUM(Q97:Q100)</f>
        <v>0</v>
      </c>
      <c r="R105" s="15">
        <f>SUM(R97:R100)</f>
        <v>0</v>
      </c>
      <c r="S105" s="15">
        <f>SUM(S97:S100)</f>
        <v>0</v>
      </c>
      <c r="T105" s="13">
        <f>SUM(T98:T101)</f>
        <v>16.87</v>
      </c>
      <c r="U105" s="13"/>
      <c r="V105" s="13">
        <f>SUM(V98:V101)</f>
        <v>233694.73879999999</v>
      </c>
      <c r="W105" s="13">
        <f>SUM(W98:W104)</f>
        <v>7.2</v>
      </c>
      <c r="X105" s="13"/>
      <c r="Y105" s="85">
        <f>SUM(Y98:Y104)</f>
        <v>428000</v>
      </c>
      <c r="Z105" s="13">
        <f>SUM(Z98:Z102)</f>
        <v>18.100000000000001</v>
      </c>
      <c r="AA105" s="13"/>
      <c r="AB105" s="65">
        <f>SUM(AB98:AB102)</f>
        <v>1052500</v>
      </c>
      <c r="AC105" s="8"/>
      <c r="AD105" s="8"/>
      <c r="AF105" s="110">
        <f>T105+W105+Z105</f>
        <v>42.17</v>
      </c>
    </row>
    <row r="106" spans="1:36" s="23" customFormat="1" ht="27.75" customHeight="1">
      <c r="A106" s="145" t="s">
        <v>44</v>
      </c>
      <c r="B106" s="146"/>
      <c r="C106" s="146"/>
      <c r="D106" s="146"/>
      <c r="E106" s="146"/>
      <c r="F106" s="118"/>
      <c r="G106" s="13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9"/>
      <c r="V106" s="19"/>
      <c r="W106" s="19"/>
      <c r="X106" s="17"/>
      <c r="Y106" s="87"/>
      <c r="Z106" s="13"/>
      <c r="AA106" s="19"/>
      <c r="AB106" s="67"/>
      <c r="AC106" s="8"/>
      <c r="AD106" s="8"/>
    </row>
    <row r="107" spans="1:36" s="23" customFormat="1" ht="27.75" customHeight="1">
      <c r="A107" s="167">
        <v>25</v>
      </c>
      <c r="B107" s="169" t="s">
        <v>69</v>
      </c>
      <c r="C107" s="17" t="s">
        <v>17</v>
      </c>
      <c r="D107" s="17"/>
      <c r="E107" s="20">
        <v>6.6</v>
      </c>
      <c r="F107" s="161"/>
      <c r="G107" s="161">
        <v>207162.16931999999</v>
      </c>
      <c r="H107" s="21"/>
      <c r="I107" s="22"/>
      <c r="J107" s="22"/>
      <c r="K107" s="22"/>
      <c r="L107" s="27"/>
      <c r="M107" s="28"/>
      <c r="N107" s="22"/>
      <c r="O107" s="22"/>
      <c r="P107" s="27"/>
      <c r="Q107" s="28"/>
      <c r="R107" s="22"/>
      <c r="S107" s="22"/>
      <c r="T107" s="163">
        <f>E107+E108</f>
        <v>7.8999999999999995</v>
      </c>
      <c r="U107" s="163"/>
      <c r="V107" s="161">
        <v>77152.088969999983</v>
      </c>
      <c r="W107" s="163"/>
      <c r="X107" s="163"/>
      <c r="Y107" s="165"/>
      <c r="Z107" s="163"/>
      <c r="AA107" s="163"/>
      <c r="AB107" s="159"/>
      <c r="AC107" s="8"/>
      <c r="AD107" s="8"/>
      <c r="AG107" s="100">
        <f>G107-V107</f>
        <v>130010.08035</v>
      </c>
    </row>
    <row r="108" spans="1:36" s="23" customFormat="1" ht="26.25" customHeight="1">
      <c r="A108" s="168"/>
      <c r="B108" s="170"/>
      <c r="C108" s="17" t="s">
        <v>29</v>
      </c>
      <c r="D108" s="17"/>
      <c r="E108" s="20">
        <v>1.3</v>
      </c>
      <c r="F108" s="162"/>
      <c r="G108" s="162"/>
      <c r="H108" s="21"/>
      <c r="I108" s="22"/>
      <c r="J108" s="22"/>
      <c r="K108" s="22"/>
      <c r="L108" s="27"/>
      <c r="M108" s="28"/>
      <c r="N108" s="22"/>
      <c r="O108" s="22"/>
      <c r="P108" s="27"/>
      <c r="Q108" s="28"/>
      <c r="R108" s="22"/>
      <c r="S108" s="22"/>
      <c r="T108" s="164"/>
      <c r="U108" s="164"/>
      <c r="V108" s="162"/>
      <c r="W108" s="164"/>
      <c r="X108" s="164"/>
      <c r="Y108" s="166"/>
      <c r="Z108" s="164"/>
      <c r="AA108" s="164"/>
      <c r="AB108" s="160"/>
      <c r="AC108" s="8"/>
      <c r="AD108" s="8"/>
      <c r="AI108" s="23" t="s">
        <v>111</v>
      </c>
    </row>
    <row r="109" spans="1:36" s="23" customFormat="1" ht="40.5" customHeight="1">
      <c r="A109" s="123">
        <v>26</v>
      </c>
      <c r="B109" s="124" t="s">
        <v>98</v>
      </c>
      <c r="C109" s="17" t="s">
        <v>17</v>
      </c>
      <c r="D109" s="17"/>
      <c r="E109" s="20">
        <v>3.7</v>
      </c>
      <c r="F109" s="121"/>
      <c r="G109" s="19">
        <f>(70742.5*1.2)*1.073</f>
        <v>91088.042999999991</v>
      </c>
      <c r="H109" s="21"/>
      <c r="I109" s="22"/>
      <c r="J109" s="22"/>
      <c r="K109" s="22"/>
      <c r="L109" s="27"/>
      <c r="M109" s="28"/>
      <c r="N109" s="22"/>
      <c r="O109" s="22"/>
      <c r="P109" s="27"/>
      <c r="Q109" s="28"/>
      <c r="R109" s="22"/>
      <c r="S109" s="22"/>
      <c r="T109" s="121"/>
      <c r="U109" s="121"/>
      <c r="V109" s="121"/>
      <c r="W109" s="121">
        <f>E109</f>
        <v>3.7</v>
      </c>
      <c r="X109" s="121"/>
      <c r="Y109" s="122">
        <f>G109</f>
        <v>91088.042999999991</v>
      </c>
      <c r="Z109" s="13"/>
      <c r="AA109" s="121"/>
      <c r="AB109" s="120"/>
      <c r="AC109" s="8"/>
      <c r="AD109" s="8"/>
    </row>
    <row r="110" spans="1:36" s="23" customFormat="1" ht="27.75" customHeight="1">
      <c r="A110" s="143" t="s">
        <v>128</v>
      </c>
      <c r="B110" s="144"/>
      <c r="C110" s="33"/>
      <c r="D110" s="33"/>
      <c r="E110" s="14">
        <f>SUM(E107:E109)</f>
        <v>11.6</v>
      </c>
      <c r="F110" s="14"/>
      <c r="G110" s="13">
        <f>SUM(G107:G109)</f>
        <v>298250.21231999999</v>
      </c>
      <c r="H110" s="14" t="e">
        <f>SUM(#REF!)</f>
        <v>#REF!</v>
      </c>
      <c r="I110" s="15" t="e">
        <f>SUM(#REF!)</f>
        <v>#REF!</v>
      </c>
      <c r="J110" s="15" t="e">
        <f>SUM(#REF!)</f>
        <v>#REF!</v>
      </c>
      <c r="K110" s="15"/>
      <c r="L110" s="14" t="e">
        <f>SUM(#REF!)</f>
        <v>#REF!</v>
      </c>
      <c r="M110" s="15" t="e">
        <f>SUM(#REF!)</f>
        <v>#REF!</v>
      </c>
      <c r="N110" s="15" t="e">
        <f>SUM(#REF!)</f>
        <v>#REF!</v>
      </c>
      <c r="O110" s="15"/>
      <c r="P110" s="14" t="e">
        <f>SUM(#REF!)</f>
        <v>#REF!</v>
      </c>
      <c r="Q110" s="15" t="e">
        <f>SUM(#REF!)</f>
        <v>#REF!</v>
      </c>
      <c r="R110" s="15" t="e">
        <f>SUM(#REF!)</f>
        <v>#REF!</v>
      </c>
      <c r="S110" s="15" t="e">
        <f>SUM(#REF!)</f>
        <v>#REF!</v>
      </c>
      <c r="T110" s="14">
        <f t="shared" ref="T110" si="7">SUM(T107:T109)</f>
        <v>7.8999999999999995</v>
      </c>
      <c r="U110" s="14"/>
      <c r="V110" s="13">
        <f t="shared" ref="V110:W110" si="8">SUM(V107:V109)</f>
        <v>77152.088969999983</v>
      </c>
      <c r="W110" s="14">
        <f t="shared" si="8"/>
        <v>3.7</v>
      </c>
      <c r="X110" s="14"/>
      <c r="Y110" s="85">
        <f t="shared" ref="Y110" si="9">SUM(Y107:Y109)</f>
        <v>91088.042999999991</v>
      </c>
      <c r="Z110" s="13"/>
      <c r="AA110" s="13"/>
      <c r="AB110" s="65"/>
      <c r="AC110" s="8"/>
      <c r="AD110" s="8"/>
      <c r="AF110" s="110">
        <f>T110+W110+Z110</f>
        <v>11.6</v>
      </c>
    </row>
    <row r="111" spans="1:36" s="23" customFormat="1" ht="31.5" customHeight="1">
      <c r="A111" s="145" t="s">
        <v>35</v>
      </c>
      <c r="B111" s="146"/>
      <c r="C111" s="146"/>
      <c r="D111" s="146"/>
      <c r="E111" s="146"/>
      <c r="F111" s="118"/>
      <c r="G111" s="13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9"/>
      <c r="V111" s="19"/>
      <c r="W111" s="19"/>
      <c r="X111" s="17"/>
      <c r="Y111" s="87"/>
      <c r="Z111" s="13"/>
      <c r="AA111" s="19"/>
      <c r="AB111" s="67"/>
      <c r="AC111" s="8"/>
      <c r="AD111" s="8"/>
    </row>
    <row r="112" spans="1:36" s="23" customFormat="1" ht="50.25" hidden="1" customHeight="1">
      <c r="A112" s="66">
        <v>68</v>
      </c>
      <c r="B112" s="30" t="s">
        <v>45</v>
      </c>
      <c r="C112" s="17" t="s">
        <v>17</v>
      </c>
      <c r="D112" s="17"/>
      <c r="E112" s="29"/>
      <c r="F112" s="29"/>
      <c r="G112" s="19"/>
      <c r="H112" s="21"/>
      <c r="I112" s="22"/>
      <c r="J112" s="22"/>
      <c r="K112" s="22"/>
      <c r="L112" s="20"/>
      <c r="M112" s="22"/>
      <c r="N112" s="22"/>
      <c r="O112" s="22"/>
      <c r="P112" s="27"/>
      <c r="Q112" s="28"/>
      <c r="R112" s="22"/>
      <c r="S112" s="22"/>
      <c r="T112" s="20"/>
      <c r="U112" s="19"/>
      <c r="V112" s="19"/>
      <c r="W112" s="29">
        <f>E112</f>
        <v>0</v>
      </c>
      <c r="X112" s="20"/>
      <c r="Y112" s="87">
        <f>G112</f>
        <v>0</v>
      </c>
      <c r="Z112" s="13"/>
      <c r="AA112" s="19"/>
      <c r="AB112" s="67"/>
      <c r="AC112" s="8"/>
      <c r="AD112" s="8"/>
    </row>
    <row r="113" spans="1:41" s="23" customFormat="1" ht="48" customHeight="1">
      <c r="A113" s="66">
        <v>27</v>
      </c>
      <c r="B113" s="26" t="s">
        <v>77</v>
      </c>
      <c r="C113" s="17" t="s">
        <v>23</v>
      </c>
      <c r="D113" s="17"/>
      <c r="E113" s="29">
        <f>45.8-37.1</f>
        <v>8.6999999999999957</v>
      </c>
      <c r="F113" s="29"/>
      <c r="G113" s="19">
        <f>V113+Y113</f>
        <v>395313.4</v>
      </c>
      <c r="H113" s="21"/>
      <c r="I113" s="22"/>
      <c r="J113" s="22"/>
      <c r="K113" s="22"/>
      <c r="L113" s="20"/>
      <c r="M113" s="22"/>
      <c r="N113" s="22"/>
      <c r="O113" s="22"/>
      <c r="P113" s="27"/>
      <c r="Q113" s="28"/>
      <c r="R113" s="22"/>
      <c r="S113" s="22"/>
      <c r="T113" s="20"/>
      <c r="U113" s="19"/>
      <c r="V113" s="161">
        <f>(58490.19*1.2-159.41)*1.053+511.69+748-0.035+75000-20000+70000+(17821+123689-856-27784)+8313+4127-60000+4246-36000-62031+947+662+4703+12-18121-22500+968+5600</f>
        <v>143796.00035400002</v>
      </c>
      <c r="W113" s="20">
        <f>E113</f>
        <v>8.6999999999999957</v>
      </c>
      <c r="X113" s="20"/>
      <c r="Y113" s="87">
        <f>395313.4-V113</f>
        <v>251517.39964600001</v>
      </c>
      <c r="Z113" s="13"/>
      <c r="AA113" s="19"/>
      <c r="AB113" s="67"/>
      <c r="AC113" s="8"/>
      <c r="AD113" s="8"/>
    </row>
    <row r="114" spans="1:41" s="23" customFormat="1" ht="45" hidden="1" customHeight="1" thickBot="1">
      <c r="A114" s="66">
        <v>63</v>
      </c>
      <c r="B114" s="30" t="s">
        <v>70</v>
      </c>
      <c r="C114" s="17" t="s">
        <v>17</v>
      </c>
      <c r="D114" s="17"/>
      <c r="E114" s="29"/>
      <c r="F114" s="29"/>
      <c r="G114" s="19"/>
      <c r="H114" s="21"/>
      <c r="I114" s="22"/>
      <c r="J114" s="22"/>
      <c r="K114" s="22"/>
      <c r="L114" s="27"/>
      <c r="M114" s="28"/>
      <c r="N114" s="22"/>
      <c r="O114" s="22"/>
      <c r="P114" s="20"/>
      <c r="Q114" s="19"/>
      <c r="R114" s="19"/>
      <c r="S114" s="19"/>
      <c r="T114" s="20"/>
      <c r="U114" s="19"/>
      <c r="V114" s="162"/>
      <c r="W114" s="19"/>
      <c r="X114" s="22"/>
      <c r="Y114" s="87"/>
      <c r="Z114" s="13"/>
      <c r="AA114" s="19"/>
      <c r="AB114" s="67"/>
      <c r="AC114" s="8"/>
      <c r="AD114" s="8"/>
    </row>
    <row r="115" spans="1:41" s="23" customFormat="1" ht="30" customHeight="1">
      <c r="A115" s="143" t="s">
        <v>162</v>
      </c>
      <c r="B115" s="144"/>
      <c r="C115" s="144"/>
      <c r="D115" s="116"/>
      <c r="E115" s="14">
        <f>SUM(E112:E114)</f>
        <v>8.6999999999999957</v>
      </c>
      <c r="F115" s="14"/>
      <c r="G115" s="13">
        <f>SUM(G112:G114)</f>
        <v>395313.4</v>
      </c>
      <c r="H115" s="14" t="e">
        <f>SUM(#REF!)</f>
        <v>#REF!</v>
      </c>
      <c r="I115" s="15" t="e">
        <f>SUM(#REF!)</f>
        <v>#REF!</v>
      </c>
      <c r="J115" s="15" t="e">
        <f>SUM(#REF!)</f>
        <v>#REF!</v>
      </c>
      <c r="K115" s="15"/>
      <c r="L115" s="14" t="e">
        <f>SUM(#REF!)</f>
        <v>#REF!</v>
      </c>
      <c r="M115" s="15" t="e">
        <f>SUM(#REF!)</f>
        <v>#REF!</v>
      </c>
      <c r="N115" s="15" t="e">
        <f>SUM(#REF!)</f>
        <v>#REF!</v>
      </c>
      <c r="O115" s="15" t="e">
        <f>SUM(#REF!)</f>
        <v>#REF!</v>
      </c>
      <c r="P115" s="38">
        <f>SUM(P112:P114)</f>
        <v>0</v>
      </c>
      <c r="Q115" s="15">
        <f>SUM(Q112:Q114)</f>
        <v>0</v>
      </c>
      <c r="R115" s="15">
        <f>SUM(R112:R114)</f>
        <v>0</v>
      </c>
      <c r="S115" s="13">
        <f>SUM(S112:S114)</f>
        <v>0</v>
      </c>
      <c r="T115" s="14"/>
      <c r="U115" s="13"/>
      <c r="V115" s="13">
        <f>SUM(V112:V114)</f>
        <v>143796.00035400002</v>
      </c>
      <c r="W115" s="13">
        <f>SUM(W112:W114)</f>
        <v>8.6999999999999957</v>
      </c>
      <c r="X115" s="14"/>
      <c r="Y115" s="85">
        <f>SUM(Y112:Y114)</f>
        <v>251517.39964600001</v>
      </c>
      <c r="Z115" s="13"/>
      <c r="AA115" s="13"/>
      <c r="AB115" s="65"/>
      <c r="AC115" s="8"/>
      <c r="AD115" s="8"/>
      <c r="AF115" s="110">
        <f>T115+W115+Z115</f>
        <v>8.6999999999999957</v>
      </c>
    </row>
    <row r="116" spans="1:41" s="23" customFormat="1" ht="24.75" customHeight="1">
      <c r="A116" s="145" t="s">
        <v>36</v>
      </c>
      <c r="B116" s="146"/>
      <c r="C116" s="146"/>
      <c r="D116" s="146"/>
      <c r="E116" s="146"/>
      <c r="F116" s="118"/>
      <c r="G116" s="13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9"/>
      <c r="V116" s="19"/>
      <c r="W116" s="19"/>
      <c r="X116" s="17"/>
      <c r="Y116" s="87"/>
      <c r="Z116" s="13"/>
      <c r="AA116" s="19"/>
      <c r="AB116" s="67"/>
      <c r="AC116" s="8"/>
      <c r="AD116" s="8"/>
    </row>
    <row r="117" spans="1:41" s="23" customFormat="1" ht="45" customHeight="1">
      <c r="A117" s="66">
        <v>28</v>
      </c>
      <c r="B117" s="30" t="s">
        <v>154</v>
      </c>
      <c r="C117" s="17" t="s">
        <v>17</v>
      </c>
      <c r="D117" s="17"/>
      <c r="E117" s="29">
        <v>6.4</v>
      </c>
      <c r="F117" s="29"/>
      <c r="G117" s="19">
        <f>176293.09*1.2*1.073</f>
        <v>226994.98268399999</v>
      </c>
      <c r="H117" s="21"/>
      <c r="I117" s="22"/>
      <c r="J117" s="22"/>
      <c r="K117" s="22"/>
      <c r="L117" s="27"/>
      <c r="M117" s="28"/>
      <c r="N117" s="22"/>
      <c r="O117" s="22"/>
      <c r="P117" s="20"/>
      <c r="Q117" s="22"/>
      <c r="R117" s="22"/>
      <c r="S117" s="22"/>
      <c r="T117" s="20"/>
      <c r="U117" s="19"/>
      <c r="V117" s="19"/>
      <c r="W117" s="20">
        <f>E117</f>
        <v>6.4</v>
      </c>
      <c r="X117" s="22"/>
      <c r="Y117" s="87">
        <f>G117</f>
        <v>226994.98268399999</v>
      </c>
      <c r="Z117" s="13"/>
      <c r="AA117" s="19"/>
      <c r="AB117" s="67"/>
      <c r="AC117" s="8"/>
      <c r="AD117" s="8"/>
    </row>
    <row r="118" spans="1:41" s="23" customFormat="1" ht="29.25" customHeight="1">
      <c r="A118" s="143" t="s">
        <v>163</v>
      </c>
      <c r="B118" s="144"/>
      <c r="C118" s="144"/>
      <c r="D118" s="116"/>
      <c r="E118" s="13">
        <f>SUM(E117:E117)</f>
        <v>6.4</v>
      </c>
      <c r="F118" s="13"/>
      <c r="G118" s="13">
        <f>SUM(G117:G117)</f>
        <v>226994.98268399999</v>
      </c>
      <c r="H118" s="14" t="e">
        <f>SUM(#REF!)</f>
        <v>#REF!</v>
      </c>
      <c r="I118" s="15" t="e">
        <f>SUM(#REF!)</f>
        <v>#REF!</v>
      </c>
      <c r="J118" s="15" t="e">
        <f>SUM(#REF!)</f>
        <v>#REF!</v>
      </c>
      <c r="K118" s="15"/>
      <c r="L118" s="14" t="e">
        <f>SUM(#REF!)</f>
        <v>#REF!</v>
      </c>
      <c r="M118" s="15" t="e">
        <f>SUM(#REF!)</f>
        <v>#REF!</v>
      </c>
      <c r="N118" s="15" t="e">
        <f>SUM(#REF!)</f>
        <v>#REF!</v>
      </c>
      <c r="O118" s="15"/>
      <c r="P118" s="13" t="e">
        <f>SUM(#REF!)</f>
        <v>#REF!</v>
      </c>
      <c r="Q118" s="15" t="e">
        <f>SUM(#REF!)</f>
        <v>#REF!</v>
      </c>
      <c r="R118" s="15" t="e">
        <f>SUM(#REF!)</f>
        <v>#REF!</v>
      </c>
      <c r="S118" s="15"/>
      <c r="T118" s="13"/>
      <c r="U118" s="13"/>
      <c r="V118" s="13"/>
      <c r="W118" s="13">
        <f>SUM(W117:W117)</f>
        <v>6.4</v>
      </c>
      <c r="X118" s="13"/>
      <c r="Y118" s="85">
        <f>SUM(Y117:Y117)</f>
        <v>226994.98268399999</v>
      </c>
      <c r="Z118" s="13"/>
      <c r="AA118" s="13"/>
      <c r="AB118" s="65"/>
      <c r="AC118" s="8"/>
      <c r="AD118" s="8"/>
      <c r="AF118" s="110">
        <f>T118+W118+Z118</f>
        <v>6.4</v>
      </c>
    </row>
    <row r="119" spans="1:41" s="23" customFormat="1" ht="27.75" customHeight="1">
      <c r="A119" s="115"/>
      <c r="B119" s="16" t="s">
        <v>37</v>
      </c>
      <c r="C119" s="33"/>
      <c r="D119" s="33"/>
      <c r="E119" s="111">
        <f>Z119</f>
        <v>48.3</v>
      </c>
      <c r="F119" s="21"/>
      <c r="G119" s="19">
        <f>V119+Y119+AB119</f>
        <v>1509389.3711900001</v>
      </c>
      <c r="H119" s="19"/>
      <c r="I119" s="22"/>
      <c r="J119" s="22"/>
      <c r="K119" s="22"/>
      <c r="L119" s="39"/>
      <c r="M119" s="22"/>
      <c r="N119" s="22"/>
      <c r="O119" s="22"/>
      <c r="P119" s="19"/>
      <c r="Q119" s="22"/>
      <c r="R119" s="22"/>
      <c r="S119" s="22"/>
      <c r="T119" s="20"/>
      <c r="U119" s="24"/>
      <c r="V119" s="19">
        <v>1.2064299999999997</v>
      </c>
      <c r="W119" s="22"/>
      <c r="X119" s="19"/>
      <c r="Y119" s="87">
        <f>76000+24000</f>
        <v>100000</v>
      </c>
      <c r="Z119" s="19">
        <v>48.3</v>
      </c>
      <c r="AA119" s="22"/>
      <c r="AB119" s="67">
        <f>1450197.86-24000-544.93202-16264.76322</f>
        <v>1409388.1647600001</v>
      </c>
      <c r="AC119" s="114">
        <f>AB119/30000</f>
        <v>46.979605492000005</v>
      </c>
      <c r="AF119" s="110">
        <f>T119+W119+Z119</f>
        <v>48.3</v>
      </c>
      <c r="AM119" s="23" t="s">
        <v>21</v>
      </c>
    </row>
    <row r="120" spans="1:41" s="40" customFormat="1" ht="38.25" customHeight="1">
      <c r="A120" s="64" t="s">
        <v>20</v>
      </c>
      <c r="B120" s="151" t="s">
        <v>91</v>
      </c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1"/>
      <c r="AA120" s="152"/>
      <c r="AB120" s="175"/>
      <c r="AI120" s="40" t="s">
        <v>0</v>
      </c>
    </row>
    <row r="121" spans="1:41" s="40" customFormat="1" ht="48.75" customHeight="1">
      <c r="A121" s="64"/>
      <c r="B121" s="52" t="s">
        <v>90</v>
      </c>
      <c r="C121" s="58"/>
      <c r="D121" s="58"/>
      <c r="E121" s="13"/>
      <c r="F121" s="58"/>
      <c r="G121" s="13">
        <f>G129+G132+G135</f>
        <v>284197.8</v>
      </c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13">
        <f>V129+V132+V135</f>
        <v>84197.8</v>
      </c>
      <c r="W121" s="13"/>
      <c r="X121" s="15"/>
      <c r="Y121" s="13">
        <f>Y124+Y129+Y132+Y135</f>
        <v>105000</v>
      </c>
      <c r="Z121" s="58"/>
      <c r="AA121" s="58"/>
      <c r="AB121" s="65">
        <f>AB129+AB132+AB135</f>
        <v>100000</v>
      </c>
    </row>
    <row r="122" spans="1:41" s="40" customFormat="1" ht="30" customHeight="1">
      <c r="A122" s="145" t="s">
        <v>18</v>
      </c>
      <c r="B122" s="146"/>
      <c r="C122" s="54"/>
      <c r="D122" s="54"/>
      <c r="E122" s="54"/>
      <c r="F122" s="54"/>
      <c r="G122" s="54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3"/>
      <c r="U122" s="32"/>
      <c r="V122" s="13"/>
      <c r="W122" s="15"/>
      <c r="X122" s="15"/>
      <c r="Y122" s="89"/>
      <c r="Z122" s="15"/>
      <c r="AA122" s="15"/>
      <c r="AB122" s="71"/>
    </row>
    <row r="123" spans="1:41" s="40" customFormat="1" ht="87.75" customHeight="1">
      <c r="A123" s="72">
        <v>1</v>
      </c>
      <c r="B123" s="26" t="s">
        <v>107</v>
      </c>
      <c r="C123" s="17" t="s">
        <v>20</v>
      </c>
      <c r="D123" s="54"/>
      <c r="E123" s="54"/>
      <c r="F123" s="54"/>
      <c r="G123" s="19">
        <v>14103.8</v>
      </c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3"/>
      <c r="U123" s="32"/>
      <c r="V123" s="19">
        <f>G123</f>
        <v>14103.8</v>
      </c>
      <c r="W123" s="15"/>
      <c r="X123" s="15"/>
      <c r="Y123" s="89"/>
      <c r="Z123" s="15"/>
      <c r="AA123" s="15"/>
      <c r="AB123" s="71"/>
      <c r="AH123" s="40" t="s">
        <v>21</v>
      </c>
    </row>
    <row r="124" spans="1:41" s="40" customFormat="1" ht="85.5" customHeight="1">
      <c r="A124" s="72">
        <v>2</v>
      </c>
      <c r="B124" s="26" t="s">
        <v>156</v>
      </c>
      <c r="C124" s="17" t="s">
        <v>20</v>
      </c>
      <c r="D124" s="54"/>
      <c r="E124" s="54"/>
      <c r="F124" s="54"/>
      <c r="G124" s="19">
        <f>10000-1900+5000</f>
        <v>13100</v>
      </c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3"/>
      <c r="U124" s="32"/>
      <c r="V124" s="19">
        <f>G124-Y124</f>
        <v>8100</v>
      </c>
      <c r="W124" s="15"/>
      <c r="X124" s="15"/>
      <c r="Y124" s="19">
        <v>5000</v>
      </c>
      <c r="Z124" s="15"/>
      <c r="AA124" s="15"/>
      <c r="AB124" s="71"/>
      <c r="AE124" s="40" t="s">
        <v>0</v>
      </c>
      <c r="AM124" s="40" t="s">
        <v>111</v>
      </c>
    </row>
    <row r="125" spans="1:41" s="40" customFormat="1" ht="106.5" customHeight="1">
      <c r="A125" s="72">
        <v>3</v>
      </c>
      <c r="B125" s="26" t="s">
        <v>164</v>
      </c>
      <c r="C125" s="17" t="s">
        <v>17</v>
      </c>
      <c r="D125" s="112">
        <f>(3.16-2.55)+(11.795-5)</f>
        <v>7.4050000000000002</v>
      </c>
      <c r="E125" s="29">
        <f>(3.16-2.55)+(11.795-5)</f>
        <v>7.4050000000000002</v>
      </c>
      <c r="F125" s="54"/>
      <c r="G125" s="161">
        <f>200000-5000</f>
        <v>195000</v>
      </c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3"/>
      <c r="U125" s="32"/>
      <c r="V125" s="19"/>
      <c r="W125" s="15"/>
      <c r="X125" s="15"/>
      <c r="Y125" s="161">
        <f>100000-5000</f>
        <v>95000</v>
      </c>
      <c r="Z125" s="15"/>
      <c r="AA125" s="15"/>
      <c r="AB125" s="172">
        <f>G125-Y125</f>
        <v>100000</v>
      </c>
      <c r="AI125" s="40" t="s">
        <v>21</v>
      </c>
      <c r="AJ125" s="40" t="s">
        <v>111</v>
      </c>
      <c r="AO125" s="40" t="s">
        <v>111</v>
      </c>
    </row>
    <row r="126" spans="1:41" s="40" customFormat="1" ht="72" customHeight="1">
      <c r="A126" s="72">
        <v>4</v>
      </c>
      <c r="B126" s="26" t="s">
        <v>131</v>
      </c>
      <c r="C126" s="17" t="s">
        <v>17</v>
      </c>
      <c r="D126" s="112">
        <f>3.3</f>
        <v>3.3</v>
      </c>
      <c r="E126" s="29">
        <f>3.3</f>
        <v>3.3</v>
      </c>
      <c r="F126" s="54"/>
      <c r="G126" s="171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3"/>
      <c r="U126" s="32"/>
      <c r="V126" s="19"/>
      <c r="W126" s="15"/>
      <c r="X126" s="15"/>
      <c r="Y126" s="171"/>
      <c r="Z126" s="15"/>
      <c r="AA126" s="15"/>
      <c r="AB126" s="173"/>
    </row>
    <row r="127" spans="1:41" s="40" customFormat="1" ht="90" customHeight="1">
      <c r="A127" s="72">
        <v>5</v>
      </c>
      <c r="B127" s="26" t="s">
        <v>165</v>
      </c>
      <c r="C127" s="17" t="s">
        <v>17</v>
      </c>
      <c r="D127" s="112">
        <f>(8.45-6.85)+0.2</f>
        <v>1.7999999999999996</v>
      </c>
      <c r="E127" s="29">
        <f>(8.45-6.85)+0.2</f>
        <v>1.7999999999999996</v>
      </c>
      <c r="F127" s="54"/>
      <c r="G127" s="171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3"/>
      <c r="U127" s="32"/>
      <c r="V127" s="19"/>
      <c r="W127" s="15"/>
      <c r="X127" s="15"/>
      <c r="Y127" s="171"/>
      <c r="Z127" s="15"/>
      <c r="AA127" s="15"/>
      <c r="AB127" s="173"/>
    </row>
    <row r="128" spans="1:41" s="40" customFormat="1" ht="60.75" customHeight="1">
      <c r="A128" s="72">
        <v>6</v>
      </c>
      <c r="B128" s="26" t="s">
        <v>132</v>
      </c>
      <c r="C128" s="17" t="s">
        <v>17</v>
      </c>
      <c r="D128" s="112">
        <f>1.9</f>
        <v>1.9</v>
      </c>
      <c r="E128" s="29">
        <f>1.9</f>
        <v>1.9</v>
      </c>
      <c r="F128" s="54"/>
      <c r="G128" s="162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3"/>
      <c r="U128" s="32"/>
      <c r="V128" s="19"/>
      <c r="W128" s="15"/>
      <c r="X128" s="15"/>
      <c r="Y128" s="162"/>
      <c r="Z128" s="15"/>
      <c r="AA128" s="15"/>
      <c r="AB128" s="174"/>
    </row>
    <row r="129" spans="1:40" s="40" customFormat="1" ht="33.75" customHeight="1">
      <c r="A129" s="145" t="s">
        <v>113</v>
      </c>
      <c r="B129" s="146"/>
      <c r="C129" s="17"/>
      <c r="D129" s="54"/>
      <c r="E129" s="54"/>
      <c r="F129" s="54"/>
      <c r="G129" s="13">
        <f>SUM(G123:G128)</f>
        <v>222203.8</v>
      </c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3"/>
      <c r="U129" s="32"/>
      <c r="V129" s="13">
        <f>SUM(V123:V128)</f>
        <v>22203.8</v>
      </c>
      <c r="W129" s="15"/>
      <c r="X129" s="15"/>
      <c r="Y129" s="85">
        <f>SUM(Y124:Y128)</f>
        <v>100000</v>
      </c>
      <c r="Z129" s="13"/>
      <c r="AA129" s="13"/>
      <c r="AB129" s="65">
        <f>SUM(AB125)</f>
        <v>100000</v>
      </c>
    </row>
    <row r="130" spans="1:40" s="40" customFormat="1" ht="24.75" customHeight="1">
      <c r="A130" s="117"/>
      <c r="B130" s="118" t="s">
        <v>108</v>
      </c>
      <c r="C130" s="17"/>
      <c r="D130" s="54"/>
      <c r="E130" s="54"/>
      <c r="F130" s="54"/>
      <c r="G130" s="13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3"/>
      <c r="U130" s="32"/>
      <c r="V130" s="13"/>
      <c r="W130" s="15"/>
      <c r="X130" s="15"/>
      <c r="Y130" s="89"/>
      <c r="Z130" s="15"/>
      <c r="AA130" s="15"/>
      <c r="AB130" s="71"/>
      <c r="AN130" s="40" t="s">
        <v>0</v>
      </c>
    </row>
    <row r="131" spans="1:40" s="40" customFormat="1" ht="48" customHeight="1">
      <c r="A131" s="72">
        <v>7</v>
      </c>
      <c r="B131" s="26" t="s">
        <v>92</v>
      </c>
      <c r="C131" s="17" t="s">
        <v>20</v>
      </c>
      <c r="D131" s="54"/>
      <c r="E131" s="54"/>
      <c r="F131" s="54"/>
      <c r="G131" s="19">
        <v>32554</v>
      </c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3"/>
      <c r="U131" s="32"/>
      <c r="V131" s="19">
        <f>G131</f>
        <v>32554</v>
      </c>
      <c r="W131" s="15"/>
      <c r="X131" s="15"/>
      <c r="Y131" s="89"/>
      <c r="Z131" s="15"/>
      <c r="AA131" s="15"/>
      <c r="AB131" s="71"/>
    </row>
    <row r="132" spans="1:40" s="40" customFormat="1" ht="31.5" customHeight="1">
      <c r="A132" s="145" t="s">
        <v>129</v>
      </c>
      <c r="B132" s="146"/>
      <c r="C132" s="54"/>
      <c r="D132" s="54"/>
      <c r="E132" s="54"/>
      <c r="F132" s="54"/>
      <c r="G132" s="13">
        <f>G131</f>
        <v>32554</v>
      </c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3"/>
      <c r="U132" s="32"/>
      <c r="V132" s="13">
        <f>V131</f>
        <v>32554</v>
      </c>
      <c r="W132" s="15"/>
      <c r="X132" s="15"/>
      <c r="Y132" s="89"/>
      <c r="Z132" s="15"/>
      <c r="AA132" s="15"/>
      <c r="AB132" s="71"/>
    </row>
    <row r="133" spans="1:40" s="40" customFormat="1" ht="33.75" customHeight="1">
      <c r="A133" s="145" t="s">
        <v>34</v>
      </c>
      <c r="B133" s="146"/>
      <c r="C133" s="54"/>
      <c r="D133" s="54"/>
      <c r="E133" s="54"/>
      <c r="F133" s="54"/>
      <c r="G133" s="54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3"/>
      <c r="U133" s="32"/>
      <c r="V133" s="13"/>
      <c r="W133" s="15"/>
      <c r="X133" s="15"/>
      <c r="Y133" s="89"/>
      <c r="Z133" s="15"/>
      <c r="AA133" s="15"/>
      <c r="AB133" s="71"/>
    </row>
    <row r="134" spans="1:40" s="40" customFormat="1" ht="60.75" customHeight="1">
      <c r="A134" s="72">
        <v>8</v>
      </c>
      <c r="B134" s="56" t="s">
        <v>106</v>
      </c>
      <c r="C134" s="17" t="s">
        <v>17</v>
      </c>
      <c r="D134" s="54"/>
      <c r="E134" s="54"/>
      <c r="F134" s="54"/>
      <c r="G134" s="19">
        <v>29440</v>
      </c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9">
        <f>G134</f>
        <v>29440</v>
      </c>
      <c r="W134" s="15"/>
      <c r="X134" s="13"/>
      <c r="Y134" s="87"/>
      <c r="Z134" s="15"/>
      <c r="AA134" s="15"/>
      <c r="AB134" s="71"/>
    </row>
    <row r="135" spans="1:40" s="40" customFormat="1" ht="35.25" customHeight="1">
      <c r="A135" s="176" t="s">
        <v>127</v>
      </c>
      <c r="B135" s="177"/>
      <c r="C135" s="178"/>
      <c r="D135" s="54"/>
      <c r="E135" s="54"/>
      <c r="F135" s="54"/>
      <c r="G135" s="13">
        <f>SUM(G133:G134)</f>
        <v>29440</v>
      </c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3">
        <f>V134</f>
        <v>29440</v>
      </c>
      <c r="W135" s="15"/>
      <c r="X135" s="15"/>
      <c r="Y135" s="85"/>
      <c r="Z135" s="15"/>
      <c r="AA135" s="15"/>
      <c r="AB135" s="71"/>
    </row>
    <row r="136" spans="1:40" s="42" customFormat="1" ht="41.25" customHeight="1">
      <c r="A136" s="64" t="s">
        <v>23</v>
      </c>
      <c r="B136" s="151" t="s">
        <v>93</v>
      </c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1"/>
      <c r="AA136" s="152"/>
      <c r="AB136" s="175"/>
    </row>
    <row r="137" spans="1:40" s="42" customFormat="1" ht="46.5" customHeight="1">
      <c r="A137" s="64"/>
      <c r="B137" s="52" t="s">
        <v>90</v>
      </c>
      <c r="C137" s="58"/>
      <c r="D137" s="58"/>
      <c r="E137" s="60">
        <f>SUM(E141:E157)</f>
        <v>53.3</v>
      </c>
      <c r="F137" s="53"/>
      <c r="G137" s="59">
        <f>SUM(G141:G157)</f>
        <v>219992.8</v>
      </c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60">
        <f>SUM(T141:T157)</f>
        <v>11.1</v>
      </c>
      <c r="U137" s="53"/>
      <c r="V137" s="59">
        <f>SUM(V141:V157)</f>
        <v>35092.800000000003</v>
      </c>
      <c r="W137" s="60">
        <f>SUM(W141:W157)</f>
        <v>5.0999999999999996</v>
      </c>
      <c r="X137" s="53"/>
      <c r="Y137" s="59">
        <f>SUM(Y141:Y157)</f>
        <v>18000</v>
      </c>
      <c r="Z137" s="60">
        <f>SUM(Z141:Z157)</f>
        <v>37.099999999999994</v>
      </c>
      <c r="AA137" s="53"/>
      <c r="AB137" s="73">
        <f>SUM(AB141:AB157)</f>
        <v>166900</v>
      </c>
    </row>
    <row r="138" spans="1:40" s="42" customFormat="1" ht="38.25" hidden="1" customHeight="1">
      <c r="A138" s="145" t="s">
        <v>16</v>
      </c>
      <c r="B138" s="146"/>
      <c r="C138" s="58"/>
      <c r="D138" s="58"/>
      <c r="E138" s="60"/>
      <c r="F138" s="53"/>
      <c r="G138" s="59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60"/>
      <c r="U138" s="53"/>
      <c r="V138" s="59"/>
      <c r="W138" s="58"/>
      <c r="X138" s="58"/>
      <c r="Y138" s="90"/>
      <c r="Z138" s="58"/>
      <c r="AA138" s="58"/>
      <c r="AB138" s="70"/>
    </row>
    <row r="139" spans="1:40" s="42" customFormat="1" ht="105" hidden="1" customHeight="1">
      <c r="A139" s="66">
        <v>1</v>
      </c>
      <c r="B139" s="63" t="s">
        <v>110</v>
      </c>
      <c r="C139" s="17" t="s">
        <v>17</v>
      </c>
      <c r="D139" s="58"/>
      <c r="E139" s="29"/>
      <c r="F139" s="53"/>
      <c r="G139" s="57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60"/>
      <c r="U139" s="53"/>
      <c r="V139" s="59"/>
      <c r="W139" s="58"/>
      <c r="X139" s="58"/>
      <c r="Y139" s="90"/>
      <c r="Z139" s="29">
        <f>E139</f>
        <v>0</v>
      </c>
      <c r="AA139" s="53"/>
      <c r="AB139" s="74">
        <f>G139</f>
        <v>0</v>
      </c>
      <c r="AI139" s="42" t="s">
        <v>111</v>
      </c>
    </row>
    <row r="140" spans="1:40" s="42" customFormat="1" ht="27.75" customHeight="1">
      <c r="A140" s="145" t="s">
        <v>18</v>
      </c>
      <c r="B140" s="146"/>
      <c r="C140" s="116"/>
      <c r="D140" s="58"/>
      <c r="E140" s="29"/>
      <c r="F140" s="53"/>
      <c r="G140" s="57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60"/>
      <c r="U140" s="53"/>
      <c r="V140" s="59"/>
      <c r="W140" s="58"/>
      <c r="X140" s="58"/>
      <c r="Y140" s="90"/>
      <c r="Z140" s="91"/>
      <c r="AA140" s="53"/>
      <c r="AB140" s="75"/>
    </row>
    <row r="141" spans="1:40" s="42" customFormat="1" ht="68.25" customHeight="1">
      <c r="A141" s="66">
        <v>1</v>
      </c>
      <c r="B141" s="63" t="s">
        <v>133</v>
      </c>
      <c r="C141" s="17" t="s">
        <v>17</v>
      </c>
      <c r="D141" s="58"/>
      <c r="E141" s="29">
        <v>4.7</v>
      </c>
      <c r="F141" s="53"/>
      <c r="G141" s="57">
        <v>21150</v>
      </c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60"/>
      <c r="U141" s="53"/>
      <c r="V141" s="59"/>
      <c r="W141" s="58"/>
      <c r="X141" s="58"/>
      <c r="Y141" s="90"/>
      <c r="Z141" s="29">
        <f>E141</f>
        <v>4.7</v>
      </c>
      <c r="AA141" s="53"/>
      <c r="AB141" s="74">
        <f>G141</f>
        <v>21150</v>
      </c>
    </row>
    <row r="142" spans="1:40" s="42" customFormat="1" ht="48.75" customHeight="1">
      <c r="A142" s="66">
        <v>2</v>
      </c>
      <c r="B142" s="63" t="s">
        <v>134</v>
      </c>
      <c r="C142" s="17" t="s">
        <v>17</v>
      </c>
      <c r="D142" s="58"/>
      <c r="E142" s="29">
        <v>6.3</v>
      </c>
      <c r="F142" s="53"/>
      <c r="G142" s="57">
        <v>19300</v>
      </c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60"/>
      <c r="U142" s="53"/>
      <c r="V142" s="59"/>
      <c r="W142" s="58"/>
      <c r="X142" s="58"/>
      <c r="Y142" s="90"/>
      <c r="Z142" s="29">
        <f>E142</f>
        <v>6.3</v>
      </c>
      <c r="AA142" s="53"/>
      <c r="AB142" s="74">
        <f>G142</f>
        <v>19300</v>
      </c>
    </row>
    <row r="143" spans="1:40" s="42" customFormat="1" ht="44.25" customHeight="1">
      <c r="A143" s="66">
        <v>3</v>
      </c>
      <c r="B143" s="63" t="s">
        <v>142</v>
      </c>
      <c r="C143" s="17"/>
      <c r="D143" s="58"/>
      <c r="E143" s="29">
        <v>5.0999999999999996</v>
      </c>
      <c r="F143" s="53"/>
      <c r="G143" s="57">
        <v>18000</v>
      </c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60"/>
      <c r="U143" s="53"/>
      <c r="V143" s="59"/>
      <c r="W143" s="29">
        <f>E143</f>
        <v>5.0999999999999996</v>
      </c>
      <c r="X143" s="53"/>
      <c r="Y143" s="57">
        <f>G143</f>
        <v>18000</v>
      </c>
      <c r="Z143" s="91"/>
      <c r="AA143" s="53"/>
      <c r="AB143" s="75"/>
    </row>
    <row r="144" spans="1:40" s="42" customFormat="1" ht="31.5" customHeight="1">
      <c r="A144" s="145" t="s">
        <v>24</v>
      </c>
      <c r="B144" s="146"/>
      <c r="C144" s="116"/>
      <c r="D144" s="58"/>
      <c r="E144" s="29"/>
      <c r="F144" s="53"/>
      <c r="G144" s="57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60"/>
      <c r="U144" s="53"/>
      <c r="V144" s="59"/>
      <c r="W144" s="58"/>
      <c r="X144" s="58"/>
      <c r="Y144" s="90"/>
      <c r="Z144" s="91"/>
      <c r="AA144" s="53"/>
      <c r="AB144" s="75"/>
    </row>
    <row r="145" spans="1:28" s="42" customFormat="1" ht="43.5" customHeight="1">
      <c r="A145" s="66">
        <v>4</v>
      </c>
      <c r="B145" s="63" t="s">
        <v>135</v>
      </c>
      <c r="C145" s="17" t="s">
        <v>17</v>
      </c>
      <c r="D145" s="58"/>
      <c r="E145" s="29">
        <v>5.9</v>
      </c>
      <c r="F145" s="53"/>
      <c r="G145" s="57">
        <v>27950</v>
      </c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60"/>
      <c r="U145" s="53"/>
      <c r="V145" s="59"/>
      <c r="W145" s="58"/>
      <c r="X145" s="58"/>
      <c r="Y145" s="90"/>
      <c r="Z145" s="29">
        <f>E145</f>
        <v>5.9</v>
      </c>
      <c r="AA145" s="53"/>
      <c r="AB145" s="74">
        <f>G145</f>
        <v>27950</v>
      </c>
    </row>
    <row r="146" spans="1:28" s="42" customFormat="1" ht="33.75" customHeight="1">
      <c r="A146" s="145" t="s">
        <v>27</v>
      </c>
      <c r="B146" s="146"/>
      <c r="C146" s="116"/>
      <c r="D146" s="58"/>
      <c r="E146" s="29"/>
      <c r="F146" s="53"/>
      <c r="G146" s="57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60"/>
      <c r="U146" s="53"/>
      <c r="V146" s="59"/>
      <c r="W146" s="58"/>
      <c r="X146" s="58"/>
      <c r="Y146" s="90"/>
      <c r="Z146" s="91"/>
      <c r="AA146" s="53"/>
      <c r="AB146" s="75"/>
    </row>
    <row r="147" spans="1:28" s="42" customFormat="1" ht="66" customHeight="1">
      <c r="A147" s="66">
        <v>5</v>
      </c>
      <c r="B147" s="63" t="s">
        <v>136</v>
      </c>
      <c r="C147" s="17" t="s">
        <v>17</v>
      </c>
      <c r="D147" s="58"/>
      <c r="E147" s="29">
        <v>1.7</v>
      </c>
      <c r="F147" s="53"/>
      <c r="G147" s="57">
        <v>9000</v>
      </c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60"/>
      <c r="U147" s="53"/>
      <c r="V147" s="59"/>
      <c r="W147" s="58"/>
      <c r="X147" s="58"/>
      <c r="Y147" s="90"/>
      <c r="Z147" s="29">
        <f>E147</f>
        <v>1.7</v>
      </c>
      <c r="AA147" s="53"/>
      <c r="AB147" s="74">
        <f>G147</f>
        <v>9000</v>
      </c>
    </row>
    <row r="148" spans="1:28" s="42" customFormat="1" ht="31.5" customHeight="1">
      <c r="A148" s="145" t="s">
        <v>61</v>
      </c>
      <c r="B148" s="146"/>
      <c r="C148" s="116"/>
      <c r="D148" s="58"/>
      <c r="E148" s="29"/>
      <c r="F148" s="53"/>
      <c r="G148" s="57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60"/>
      <c r="U148" s="53"/>
      <c r="V148" s="59"/>
      <c r="W148" s="58"/>
      <c r="X148" s="58"/>
      <c r="Y148" s="90"/>
      <c r="Z148" s="91"/>
      <c r="AA148" s="53"/>
      <c r="AB148" s="75"/>
    </row>
    <row r="149" spans="1:28" s="42" customFormat="1" ht="48.75" customHeight="1">
      <c r="A149" s="66">
        <v>6</v>
      </c>
      <c r="B149" s="63" t="s">
        <v>137</v>
      </c>
      <c r="C149" s="17" t="s">
        <v>17</v>
      </c>
      <c r="D149" s="58"/>
      <c r="E149" s="29">
        <v>2.9</v>
      </c>
      <c r="F149" s="53"/>
      <c r="G149" s="57">
        <v>13050</v>
      </c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60"/>
      <c r="U149" s="53"/>
      <c r="V149" s="59"/>
      <c r="W149" s="58"/>
      <c r="X149" s="58"/>
      <c r="Y149" s="90"/>
      <c r="Z149" s="29">
        <f>E149</f>
        <v>2.9</v>
      </c>
      <c r="AA149" s="53"/>
      <c r="AB149" s="74">
        <f>G149</f>
        <v>13050</v>
      </c>
    </row>
    <row r="150" spans="1:28" s="42" customFormat="1" ht="31.5" customHeight="1">
      <c r="A150" s="145" t="s">
        <v>34</v>
      </c>
      <c r="B150" s="146"/>
      <c r="C150" s="116"/>
      <c r="D150" s="58"/>
      <c r="E150" s="29"/>
      <c r="F150" s="53"/>
      <c r="G150" s="57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60"/>
      <c r="U150" s="53"/>
      <c r="V150" s="59"/>
      <c r="W150" s="58"/>
      <c r="X150" s="58"/>
      <c r="Y150" s="90"/>
      <c r="Z150" s="91"/>
      <c r="AA150" s="53"/>
      <c r="AB150" s="75"/>
    </row>
    <row r="151" spans="1:28" s="42" customFormat="1" ht="46.5" customHeight="1">
      <c r="A151" s="66">
        <v>7</v>
      </c>
      <c r="B151" s="16" t="s">
        <v>138</v>
      </c>
      <c r="C151" s="17" t="s">
        <v>17</v>
      </c>
      <c r="D151" s="58"/>
      <c r="E151" s="29">
        <v>1.8</v>
      </c>
      <c r="F151" s="53"/>
      <c r="G151" s="57">
        <v>9650</v>
      </c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60"/>
      <c r="U151" s="53"/>
      <c r="V151" s="59"/>
      <c r="W151" s="58"/>
      <c r="X151" s="58"/>
      <c r="Y151" s="90"/>
      <c r="Z151" s="29">
        <f>E151</f>
        <v>1.8</v>
      </c>
      <c r="AA151" s="53"/>
      <c r="AB151" s="74">
        <f>G151</f>
        <v>9650</v>
      </c>
    </row>
    <row r="152" spans="1:28" s="42" customFormat="1" ht="33.75" customHeight="1">
      <c r="A152" s="145" t="s">
        <v>35</v>
      </c>
      <c r="B152" s="146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90"/>
      <c r="Z152" s="58"/>
      <c r="AA152" s="58"/>
      <c r="AB152" s="70"/>
    </row>
    <row r="153" spans="1:28" s="42" customFormat="1" ht="44.25" customHeight="1">
      <c r="A153" s="66">
        <v>8</v>
      </c>
      <c r="B153" s="30" t="s">
        <v>109</v>
      </c>
      <c r="C153" s="17" t="s">
        <v>23</v>
      </c>
      <c r="D153" s="58"/>
      <c r="E153" s="29">
        <v>11.1</v>
      </c>
      <c r="F153" s="55"/>
      <c r="G153" s="57">
        <v>35092.800000000003</v>
      </c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29">
        <f>E153</f>
        <v>11.1</v>
      </c>
      <c r="U153" s="55"/>
      <c r="V153" s="57">
        <f>G153</f>
        <v>35092.800000000003</v>
      </c>
      <c r="W153" s="58"/>
      <c r="X153" s="58"/>
      <c r="Y153" s="90"/>
      <c r="Z153" s="58"/>
      <c r="AA153" s="58"/>
      <c r="AB153" s="70"/>
    </row>
    <row r="154" spans="1:28" s="42" customFormat="1" ht="30.75" customHeight="1">
      <c r="A154" s="145" t="s">
        <v>36</v>
      </c>
      <c r="B154" s="146"/>
      <c r="C154" s="96"/>
      <c r="D154" s="96"/>
      <c r="E154" s="96"/>
      <c r="F154" s="96"/>
      <c r="G154" s="96"/>
      <c r="H154" s="97"/>
      <c r="I154" s="96"/>
      <c r="J154" s="96"/>
      <c r="K154" s="96"/>
      <c r="L154" s="96"/>
      <c r="M154" s="96"/>
      <c r="N154" s="96"/>
      <c r="O154" s="96"/>
      <c r="P154" s="96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101"/>
    </row>
    <row r="155" spans="1:28" s="42" customFormat="1" ht="67.5" customHeight="1">
      <c r="A155" s="66">
        <v>9</v>
      </c>
      <c r="B155" s="16" t="s">
        <v>139</v>
      </c>
      <c r="C155" s="17" t="s">
        <v>17</v>
      </c>
      <c r="D155" s="96"/>
      <c r="E155" s="29">
        <v>7.2</v>
      </c>
      <c r="F155" s="55"/>
      <c r="G155" s="57">
        <v>36200</v>
      </c>
      <c r="H155" s="97"/>
      <c r="I155" s="96"/>
      <c r="J155" s="96"/>
      <c r="K155" s="96"/>
      <c r="L155" s="96"/>
      <c r="M155" s="96"/>
      <c r="N155" s="96"/>
      <c r="O155" s="96"/>
      <c r="P155" s="96"/>
      <c r="Q155" s="55"/>
      <c r="R155" s="55"/>
      <c r="S155" s="55"/>
      <c r="T155" s="55"/>
      <c r="U155" s="55"/>
      <c r="V155" s="55"/>
      <c r="W155" s="55"/>
      <c r="X155" s="55"/>
      <c r="Y155" s="55"/>
      <c r="Z155" s="29">
        <f t="shared" ref="Z155:Z157" si="10">E155</f>
        <v>7.2</v>
      </c>
      <c r="AA155" s="53"/>
      <c r="AB155" s="74">
        <f t="shared" ref="AB155:AB157" si="11">G155</f>
        <v>36200</v>
      </c>
    </row>
    <row r="156" spans="1:28" s="42" customFormat="1" ht="45.75" customHeight="1">
      <c r="A156" s="66">
        <v>10</v>
      </c>
      <c r="B156" s="16" t="s">
        <v>140</v>
      </c>
      <c r="C156" s="17" t="s">
        <v>17</v>
      </c>
      <c r="D156" s="96"/>
      <c r="E156" s="29">
        <v>4.8</v>
      </c>
      <c r="F156" s="55"/>
      <c r="G156" s="57">
        <v>21600</v>
      </c>
      <c r="H156" s="97"/>
      <c r="I156" s="96"/>
      <c r="J156" s="96"/>
      <c r="K156" s="96"/>
      <c r="L156" s="96"/>
      <c r="M156" s="96"/>
      <c r="N156" s="96"/>
      <c r="O156" s="96"/>
      <c r="P156" s="96"/>
      <c r="Q156" s="55"/>
      <c r="R156" s="55"/>
      <c r="S156" s="55"/>
      <c r="T156" s="55"/>
      <c r="U156" s="55"/>
      <c r="V156" s="55"/>
      <c r="W156" s="55"/>
      <c r="X156" s="55"/>
      <c r="Y156" s="55"/>
      <c r="Z156" s="29">
        <f t="shared" si="10"/>
        <v>4.8</v>
      </c>
      <c r="AA156" s="53"/>
      <c r="AB156" s="74">
        <f t="shared" si="11"/>
        <v>21600</v>
      </c>
    </row>
    <row r="157" spans="1:28" s="42" customFormat="1" ht="49.5" customHeight="1" thickBot="1">
      <c r="A157" s="102">
        <v>11</v>
      </c>
      <c r="B157" s="103" t="s">
        <v>141</v>
      </c>
      <c r="C157" s="104" t="s">
        <v>17</v>
      </c>
      <c r="D157" s="76"/>
      <c r="E157" s="105">
        <v>1.8</v>
      </c>
      <c r="F157" s="106"/>
      <c r="G157" s="107">
        <v>9000</v>
      </c>
      <c r="H157" s="77"/>
      <c r="I157" s="76"/>
      <c r="J157" s="76"/>
      <c r="K157" s="76"/>
      <c r="L157" s="76"/>
      <c r="M157" s="76"/>
      <c r="N157" s="76"/>
      <c r="O157" s="76"/>
      <c r="P157" s="7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5">
        <f t="shared" si="10"/>
        <v>1.8</v>
      </c>
      <c r="AA157" s="108"/>
      <c r="AB157" s="109">
        <f t="shared" si="11"/>
        <v>9000</v>
      </c>
    </row>
    <row r="158" spans="1:28" s="42" customFormat="1">
      <c r="A158" s="44"/>
      <c r="B158" s="41"/>
      <c r="C158" s="41"/>
      <c r="D158" s="41"/>
      <c r="E158" s="41"/>
      <c r="F158" s="41"/>
      <c r="G158" s="41"/>
      <c r="H158" s="43"/>
      <c r="I158" s="41"/>
      <c r="J158" s="41"/>
      <c r="K158" s="41"/>
      <c r="L158" s="41"/>
      <c r="M158" s="41"/>
      <c r="N158" s="41"/>
      <c r="O158" s="41"/>
      <c r="P158" s="41"/>
    </row>
    <row r="159" spans="1:28" s="42" customFormat="1">
      <c r="A159" s="44"/>
      <c r="B159" s="41"/>
      <c r="C159" s="41"/>
      <c r="D159" s="41"/>
      <c r="E159" s="41"/>
      <c r="F159" s="41"/>
      <c r="G159" s="41"/>
      <c r="H159" s="43"/>
      <c r="I159" s="41"/>
      <c r="J159" s="41"/>
      <c r="K159" s="41"/>
      <c r="L159" s="41"/>
      <c r="M159" s="41"/>
      <c r="N159" s="41"/>
      <c r="O159" s="41"/>
      <c r="P159" s="41"/>
    </row>
    <row r="160" spans="1:28" s="42" customFormat="1">
      <c r="A160" s="44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</row>
    <row r="161" spans="1:16" s="42" customFormat="1">
      <c r="A161" s="44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</row>
    <row r="162" spans="1:16" s="42" customFormat="1">
      <c r="A162" s="44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</row>
    <row r="163" spans="1:16" s="42" customFormat="1">
      <c r="A163" s="44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</row>
    <row r="164" spans="1:16" s="42" customFormat="1">
      <c r="A164" s="44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</row>
    <row r="165" spans="1:16" s="42" customFormat="1">
      <c r="A165" s="44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</row>
    <row r="166" spans="1:16" s="42" customFormat="1">
      <c r="A166" s="44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</row>
    <row r="167" spans="1:16" s="42" customFormat="1">
      <c r="A167" s="44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</row>
    <row r="168" spans="1:16" s="42" customFormat="1">
      <c r="A168" s="44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</row>
    <row r="169" spans="1:16" s="42" customFormat="1">
      <c r="A169" s="44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</row>
    <row r="170" spans="1:16" s="42" customFormat="1">
      <c r="A170" s="44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</row>
    <row r="171" spans="1:16" s="42" customFormat="1">
      <c r="A171" s="44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</row>
    <row r="172" spans="1:16" s="42" customFormat="1">
      <c r="A172" s="44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</row>
    <row r="173" spans="1:16" s="42" customFormat="1">
      <c r="A173" s="44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</row>
    <row r="174" spans="1:16" s="42" customFormat="1">
      <c r="A174" s="44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</row>
    <row r="175" spans="1:16" s="42" customFormat="1">
      <c r="A175" s="44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</row>
    <row r="176" spans="1:16" s="42" customFormat="1">
      <c r="A176" s="44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</row>
    <row r="177" spans="1:16" s="42" customFormat="1">
      <c r="A177" s="44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</row>
    <row r="178" spans="1:16" s="42" customFormat="1">
      <c r="A178" s="44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</row>
    <row r="179" spans="1:16" s="42" customFormat="1">
      <c r="A179" s="44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</row>
    <row r="180" spans="1:16" s="42" customFormat="1">
      <c r="A180" s="44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</row>
    <row r="181" spans="1:16" s="42" customFormat="1">
      <c r="A181" s="44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</row>
    <row r="182" spans="1:16" s="42" customFormat="1">
      <c r="A182" s="44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</row>
    <row r="183" spans="1:16" s="42" customFormat="1">
      <c r="A183" s="44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</row>
    <row r="184" spans="1:16" s="42" customFormat="1">
      <c r="A184" s="44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</row>
    <row r="185" spans="1:16" s="42" customFormat="1">
      <c r="A185" s="44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</row>
    <row r="186" spans="1:16" s="42" customFormat="1">
      <c r="A186" s="44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</row>
    <row r="187" spans="1:16" s="42" customFormat="1">
      <c r="A187" s="45"/>
      <c r="L187" s="41"/>
      <c r="M187" s="41"/>
      <c r="N187" s="41"/>
      <c r="O187" s="41"/>
      <c r="P187" s="41"/>
    </row>
    <row r="188" spans="1:16" s="42" customFormat="1">
      <c r="A188" s="45"/>
      <c r="L188" s="41"/>
      <c r="M188" s="41"/>
      <c r="N188" s="41"/>
      <c r="O188" s="41"/>
      <c r="P188" s="41"/>
    </row>
    <row r="189" spans="1:16" s="42" customFormat="1">
      <c r="A189" s="45"/>
      <c r="L189" s="41"/>
      <c r="M189" s="41"/>
      <c r="N189" s="41"/>
      <c r="O189" s="41"/>
      <c r="P189" s="41"/>
    </row>
    <row r="190" spans="1:16" s="42" customFormat="1">
      <c r="A190" s="45"/>
      <c r="L190" s="41"/>
      <c r="M190" s="41"/>
      <c r="N190" s="41"/>
      <c r="O190" s="41"/>
      <c r="P190" s="41"/>
    </row>
    <row r="191" spans="1:16" s="42" customFormat="1">
      <c r="A191" s="45"/>
      <c r="L191" s="41"/>
      <c r="M191" s="41"/>
      <c r="N191" s="41"/>
      <c r="O191" s="41"/>
      <c r="P191" s="41"/>
    </row>
    <row r="192" spans="1:16" s="42" customFormat="1">
      <c r="A192" s="45"/>
      <c r="L192" s="41"/>
      <c r="M192" s="41"/>
      <c r="N192" s="41"/>
      <c r="O192" s="41"/>
      <c r="P192" s="41"/>
    </row>
    <row r="193" spans="1:16" s="42" customFormat="1">
      <c r="A193" s="45"/>
      <c r="L193" s="41"/>
      <c r="M193" s="41"/>
      <c r="N193" s="41"/>
      <c r="O193" s="41"/>
      <c r="P193" s="41"/>
    </row>
    <row r="194" spans="1:16" s="42" customFormat="1">
      <c r="A194" s="45"/>
      <c r="L194" s="41"/>
      <c r="M194" s="41"/>
      <c r="N194" s="41"/>
      <c r="O194" s="41"/>
      <c r="P194" s="41"/>
    </row>
    <row r="195" spans="1:16" s="42" customFormat="1">
      <c r="A195" s="45"/>
      <c r="L195" s="41"/>
      <c r="M195" s="41"/>
      <c r="N195" s="41"/>
      <c r="O195" s="41"/>
      <c r="P195" s="41"/>
    </row>
    <row r="196" spans="1:16" s="42" customFormat="1">
      <c r="A196" s="45"/>
      <c r="L196" s="41"/>
      <c r="M196" s="41"/>
      <c r="N196" s="41"/>
      <c r="O196" s="41"/>
      <c r="P196" s="41"/>
    </row>
    <row r="197" spans="1:16" s="42" customFormat="1">
      <c r="A197" s="45"/>
      <c r="L197" s="41"/>
      <c r="M197" s="41"/>
      <c r="N197" s="41"/>
      <c r="O197" s="41"/>
      <c r="P197" s="41"/>
    </row>
    <row r="198" spans="1:16" s="42" customFormat="1">
      <c r="A198" s="45"/>
      <c r="L198" s="41"/>
      <c r="M198" s="41"/>
      <c r="N198" s="41"/>
      <c r="O198" s="41"/>
      <c r="P198" s="41"/>
    </row>
    <row r="199" spans="1:16" s="42" customFormat="1">
      <c r="A199" s="45"/>
      <c r="L199" s="41"/>
      <c r="M199" s="41"/>
      <c r="N199" s="41"/>
      <c r="O199" s="41"/>
      <c r="P199" s="41"/>
    </row>
    <row r="200" spans="1:16" s="42" customFormat="1">
      <c r="A200" s="45"/>
      <c r="L200" s="41"/>
      <c r="M200" s="41"/>
      <c r="N200" s="41"/>
      <c r="O200" s="41"/>
      <c r="P200" s="41"/>
    </row>
    <row r="201" spans="1:16" s="42" customFormat="1">
      <c r="A201" s="45"/>
      <c r="L201" s="41"/>
      <c r="M201" s="41"/>
      <c r="N201" s="41"/>
      <c r="O201" s="41"/>
      <c r="P201" s="41"/>
    </row>
    <row r="202" spans="1:16" s="42" customFormat="1">
      <c r="A202" s="45"/>
      <c r="L202" s="41"/>
      <c r="M202" s="41"/>
      <c r="N202" s="41"/>
      <c r="O202" s="41"/>
      <c r="P202" s="41"/>
    </row>
    <row r="203" spans="1:16" s="42" customFormat="1">
      <c r="A203" s="45"/>
      <c r="L203" s="41"/>
      <c r="M203" s="41"/>
      <c r="N203" s="41"/>
      <c r="O203" s="41"/>
      <c r="P203" s="41"/>
    </row>
    <row r="204" spans="1:16" s="42" customFormat="1">
      <c r="A204" s="45"/>
      <c r="L204" s="41"/>
      <c r="M204" s="41"/>
      <c r="N204" s="41"/>
      <c r="O204" s="41"/>
      <c r="P204" s="41"/>
    </row>
    <row r="205" spans="1:16" s="42" customFormat="1">
      <c r="A205" s="45"/>
      <c r="L205" s="41"/>
      <c r="M205" s="41"/>
      <c r="N205" s="41"/>
      <c r="O205" s="41"/>
      <c r="P205" s="41"/>
    </row>
    <row r="206" spans="1:16" s="42" customFormat="1">
      <c r="A206" s="45"/>
      <c r="L206" s="41"/>
      <c r="M206" s="41"/>
      <c r="N206" s="41"/>
      <c r="O206" s="41"/>
      <c r="P206" s="41"/>
    </row>
    <row r="207" spans="1:16" s="42" customFormat="1">
      <c r="A207" s="45"/>
      <c r="L207" s="41"/>
      <c r="M207" s="41"/>
      <c r="N207" s="41"/>
      <c r="O207" s="41"/>
      <c r="P207" s="41"/>
    </row>
    <row r="208" spans="1:16" s="42" customFormat="1">
      <c r="A208" s="45"/>
      <c r="L208" s="41"/>
      <c r="M208" s="41"/>
      <c r="N208" s="41"/>
      <c r="O208" s="41"/>
      <c r="P208" s="41"/>
    </row>
    <row r="209" spans="1:16" s="42" customFormat="1">
      <c r="A209" s="45"/>
      <c r="L209" s="41"/>
      <c r="M209" s="41"/>
      <c r="N209" s="41"/>
      <c r="O209" s="41"/>
      <c r="P209" s="41"/>
    </row>
    <row r="210" spans="1:16" s="42" customFormat="1">
      <c r="A210" s="45"/>
      <c r="L210" s="41"/>
      <c r="M210" s="41"/>
      <c r="N210" s="41"/>
      <c r="O210" s="41"/>
      <c r="P210" s="41"/>
    </row>
    <row r="211" spans="1:16" s="42" customFormat="1">
      <c r="A211" s="45"/>
      <c r="L211" s="41"/>
      <c r="M211" s="41"/>
      <c r="N211" s="41"/>
      <c r="O211" s="41"/>
      <c r="P211" s="41"/>
    </row>
    <row r="212" spans="1:16" s="42" customFormat="1">
      <c r="A212" s="45"/>
      <c r="L212" s="41"/>
      <c r="M212" s="41"/>
      <c r="N212" s="41"/>
      <c r="O212" s="41"/>
      <c r="P212" s="41"/>
    </row>
    <row r="213" spans="1:16" s="42" customFormat="1">
      <c r="A213" s="45"/>
      <c r="L213" s="41"/>
      <c r="M213" s="41"/>
      <c r="N213" s="41"/>
      <c r="O213" s="41"/>
      <c r="P213" s="41"/>
    </row>
    <row r="214" spans="1:16" s="42" customFormat="1">
      <c r="A214" s="45"/>
      <c r="L214" s="41"/>
      <c r="M214" s="41"/>
      <c r="N214" s="41"/>
      <c r="O214" s="41"/>
      <c r="P214" s="41"/>
    </row>
    <row r="215" spans="1:16" s="42" customFormat="1">
      <c r="A215" s="45"/>
      <c r="L215" s="41"/>
      <c r="M215" s="41"/>
      <c r="N215" s="41"/>
      <c r="O215" s="41"/>
      <c r="P215" s="41"/>
    </row>
    <row r="216" spans="1:16" s="42" customFormat="1">
      <c r="A216" s="45"/>
      <c r="L216" s="41"/>
      <c r="M216" s="41"/>
      <c r="N216" s="41"/>
      <c r="O216" s="41"/>
      <c r="P216" s="41"/>
    </row>
    <row r="217" spans="1:16" s="42" customFormat="1">
      <c r="A217" s="45"/>
      <c r="L217" s="41"/>
      <c r="M217" s="41"/>
      <c r="N217" s="41"/>
      <c r="O217" s="41"/>
      <c r="P217" s="41"/>
    </row>
    <row r="218" spans="1:16" s="42" customFormat="1">
      <c r="A218" s="45"/>
      <c r="L218" s="41"/>
      <c r="M218" s="41"/>
      <c r="N218" s="41"/>
      <c r="O218" s="41"/>
      <c r="P218" s="41"/>
    </row>
    <row r="219" spans="1:16" s="42" customFormat="1">
      <c r="A219" s="45"/>
      <c r="L219" s="41"/>
      <c r="M219" s="41"/>
      <c r="N219" s="41"/>
      <c r="O219" s="41"/>
      <c r="P219" s="41"/>
    </row>
    <row r="220" spans="1:16" s="42" customFormat="1">
      <c r="A220" s="45"/>
      <c r="L220" s="41"/>
      <c r="M220" s="41"/>
      <c r="N220" s="41"/>
      <c r="O220" s="41"/>
      <c r="P220" s="41"/>
    </row>
    <row r="221" spans="1:16" s="42" customFormat="1">
      <c r="A221" s="45"/>
      <c r="L221" s="41"/>
      <c r="M221" s="41"/>
      <c r="N221" s="41"/>
      <c r="O221" s="41"/>
      <c r="P221" s="41"/>
    </row>
    <row r="222" spans="1:16" s="42" customFormat="1">
      <c r="A222" s="45"/>
      <c r="L222" s="41"/>
      <c r="M222" s="41"/>
      <c r="N222" s="41"/>
      <c r="O222" s="41"/>
      <c r="P222" s="41"/>
    </row>
    <row r="223" spans="1:16" s="42" customFormat="1">
      <c r="A223" s="45"/>
      <c r="L223" s="41"/>
      <c r="M223" s="41"/>
      <c r="N223" s="41"/>
      <c r="O223" s="41"/>
      <c r="P223" s="41"/>
    </row>
    <row r="224" spans="1:16" s="42" customFormat="1">
      <c r="A224" s="45"/>
      <c r="L224" s="41"/>
      <c r="M224" s="41"/>
      <c r="N224" s="41"/>
      <c r="O224" s="41"/>
      <c r="P224" s="41"/>
    </row>
    <row r="225" spans="1:16" s="42" customFormat="1">
      <c r="A225" s="45"/>
      <c r="L225" s="41"/>
      <c r="M225" s="41"/>
      <c r="N225" s="41"/>
      <c r="O225" s="41"/>
      <c r="P225" s="41"/>
    </row>
    <row r="226" spans="1:16" s="42" customFormat="1">
      <c r="A226" s="45"/>
      <c r="L226" s="41"/>
      <c r="M226" s="41"/>
      <c r="N226" s="41"/>
      <c r="O226" s="41"/>
      <c r="P226" s="41"/>
    </row>
    <row r="227" spans="1:16" s="42" customFormat="1">
      <c r="A227" s="45"/>
      <c r="L227" s="41"/>
      <c r="M227" s="41"/>
      <c r="N227" s="41"/>
      <c r="O227" s="41"/>
      <c r="P227" s="41"/>
    </row>
    <row r="228" spans="1:16" s="42" customFormat="1">
      <c r="A228" s="45"/>
      <c r="L228" s="41"/>
      <c r="M228" s="41"/>
      <c r="N228" s="41"/>
      <c r="O228" s="41"/>
      <c r="P228" s="41"/>
    </row>
    <row r="229" spans="1:16" s="42" customFormat="1">
      <c r="A229" s="45"/>
      <c r="L229" s="41"/>
      <c r="M229" s="41"/>
      <c r="N229" s="41"/>
      <c r="O229" s="41"/>
      <c r="P229" s="41"/>
    </row>
    <row r="230" spans="1:16" s="42" customFormat="1">
      <c r="A230" s="45"/>
      <c r="L230" s="41"/>
      <c r="M230" s="41"/>
      <c r="N230" s="41"/>
      <c r="O230" s="41"/>
      <c r="P230" s="41"/>
    </row>
    <row r="231" spans="1:16" s="42" customFormat="1">
      <c r="A231" s="45"/>
      <c r="L231" s="41"/>
      <c r="M231" s="41"/>
      <c r="N231" s="41"/>
      <c r="O231" s="41"/>
      <c r="P231" s="41"/>
    </row>
    <row r="232" spans="1:16" s="42" customFormat="1">
      <c r="A232" s="45"/>
      <c r="L232" s="41"/>
      <c r="M232" s="41"/>
      <c r="N232" s="41"/>
      <c r="O232" s="41"/>
      <c r="P232" s="41"/>
    </row>
    <row r="233" spans="1:16" s="42" customFormat="1">
      <c r="A233" s="45"/>
      <c r="L233" s="41"/>
      <c r="M233" s="41"/>
      <c r="N233" s="41"/>
      <c r="O233" s="41"/>
      <c r="P233" s="41"/>
    </row>
    <row r="234" spans="1:16" s="42" customFormat="1">
      <c r="A234" s="45"/>
      <c r="L234" s="41"/>
      <c r="M234" s="41"/>
      <c r="N234" s="41"/>
      <c r="O234" s="41"/>
      <c r="P234" s="41"/>
    </row>
    <row r="235" spans="1:16" s="42" customFormat="1">
      <c r="A235" s="45"/>
      <c r="L235" s="41"/>
      <c r="M235" s="41"/>
      <c r="N235" s="41"/>
      <c r="O235" s="41"/>
      <c r="P235" s="41"/>
    </row>
    <row r="236" spans="1:16" s="42" customFormat="1">
      <c r="A236" s="45"/>
      <c r="L236" s="41"/>
      <c r="M236" s="41"/>
      <c r="N236" s="41"/>
      <c r="O236" s="41"/>
      <c r="P236" s="41"/>
    </row>
    <row r="237" spans="1:16" s="42" customFormat="1">
      <c r="A237" s="45"/>
      <c r="L237" s="41"/>
      <c r="M237" s="41"/>
      <c r="N237" s="41"/>
      <c r="O237" s="41"/>
      <c r="P237" s="41"/>
    </row>
    <row r="238" spans="1:16" s="42" customFormat="1">
      <c r="A238" s="45"/>
      <c r="L238" s="41"/>
      <c r="M238" s="41"/>
      <c r="N238" s="41"/>
      <c r="O238" s="41"/>
      <c r="P238" s="41"/>
    </row>
    <row r="239" spans="1:16" s="42" customFormat="1">
      <c r="A239" s="45"/>
      <c r="L239" s="41"/>
      <c r="M239" s="41"/>
      <c r="N239" s="41"/>
      <c r="O239" s="41"/>
      <c r="P239" s="41"/>
    </row>
    <row r="240" spans="1:16" s="42" customFormat="1">
      <c r="A240" s="45"/>
      <c r="L240" s="41"/>
      <c r="M240" s="41"/>
      <c r="N240" s="41"/>
      <c r="O240" s="41"/>
      <c r="P240" s="41"/>
    </row>
    <row r="241" spans="1:16" s="42" customFormat="1">
      <c r="A241" s="45"/>
      <c r="L241" s="41"/>
      <c r="M241" s="41"/>
      <c r="N241" s="41"/>
      <c r="O241" s="41"/>
      <c r="P241" s="41"/>
    </row>
    <row r="242" spans="1:16" s="42" customFormat="1">
      <c r="A242" s="45"/>
      <c r="L242" s="41"/>
      <c r="M242" s="41"/>
      <c r="N242" s="41"/>
      <c r="O242" s="41"/>
      <c r="P242" s="41"/>
    </row>
    <row r="243" spans="1:16" s="42" customFormat="1">
      <c r="A243" s="45"/>
      <c r="L243" s="41"/>
      <c r="M243" s="41"/>
      <c r="N243" s="41"/>
      <c r="O243" s="41"/>
      <c r="P243" s="41"/>
    </row>
    <row r="244" spans="1:16" s="42" customFormat="1">
      <c r="A244" s="45"/>
      <c r="L244" s="41"/>
      <c r="M244" s="41"/>
      <c r="N244" s="41"/>
      <c r="O244" s="41"/>
      <c r="P244" s="41"/>
    </row>
    <row r="245" spans="1:16" s="42" customFormat="1">
      <c r="A245" s="45"/>
      <c r="L245" s="41"/>
      <c r="M245" s="41"/>
      <c r="N245" s="41"/>
      <c r="O245" s="41"/>
      <c r="P245" s="41"/>
    </row>
    <row r="246" spans="1:16" s="42" customFormat="1">
      <c r="A246" s="45"/>
      <c r="L246" s="41"/>
      <c r="M246" s="41"/>
      <c r="N246" s="41"/>
      <c r="O246" s="41"/>
      <c r="P246" s="41"/>
    </row>
    <row r="247" spans="1:16" s="42" customFormat="1">
      <c r="A247" s="45"/>
      <c r="L247" s="41"/>
      <c r="M247" s="41"/>
      <c r="N247" s="41"/>
      <c r="O247" s="41"/>
      <c r="P247" s="41"/>
    </row>
    <row r="248" spans="1:16" s="42" customFormat="1">
      <c r="A248" s="45"/>
      <c r="L248" s="41"/>
      <c r="M248" s="41"/>
      <c r="N248" s="41"/>
      <c r="O248" s="41"/>
      <c r="P248" s="41"/>
    </row>
    <row r="249" spans="1:16" s="42" customFormat="1">
      <c r="A249" s="45"/>
      <c r="L249" s="41"/>
      <c r="M249" s="41"/>
      <c r="N249" s="41"/>
      <c r="O249" s="41"/>
      <c r="P249" s="41"/>
    </row>
    <row r="250" spans="1:16" s="42" customFormat="1">
      <c r="A250" s="45"/>
      <c r="L250" s="41"/>
      <c r="M250" s="41"/>
      <c r="N250" s="41"/>
      <c r="O250" s="41"/>
      <c r="P250" s="41"/>
    </row>
    <row r="251" spans="1:16" s="42" customFormat="1">
      <c r="A251" s="45"/>
      <c r="L251" s="41"/>
      <c r="M251" s="41"/>
      <c r="N251" s="41"/>
      <c r="O251" s="41"/>
      <c r="P251" s="41"/>
    </row>
    <row r="252" spans="1:16" s="42" customFormat="1">
      <c r="A252" s="45"/>
      <c r="L252" s="41"/>
      <c r="M252" s="41"/>
      <c r="N252" s="41"/>
      <c r="O252" s="41"/>
      <c r="P252" s="41"/>
    </row>
    <row r="253" spans="1:16" s="42" customFormat="1">
      <c r="A253" s="45"/>
      <c r="L253" s="41"/>
      <c r="M253" s="41"/>
      <c r="N253" s="41"/>
      <c r="O253" s="41"/>
      <c r="P253" s="41"/>
    </row>
    <row r="254" spans="1:16" s="42" customFormat="1">
      <c r="A254" s="45"/>
      <c r="L254" s="41"/>
      <c r="M254" s="41"/>
      <c r="N254" s="41"/>
      <c r="O254" s="41"/>
      <c r="P254" s="41"/>
    </row>
    <row r="255" spans="1:16" s="42" customFormat="1">
      <c r="A255" s="45"/>
      <c r="L255" s="41"/>
      <c r="M255" s="41"/>
      <c r="N255" s="41"/>
      <c r="O255" s="41"/>
      <c r="P255" s="41"/>
    </row>
    <row r="256" spans="1:16" s="42" customFormat="1">
      <c r="A256" s="45"/>
      <c r="L256" s="41"/>
      <c r="M256" s="41"/>
      <c r="N256" s="41"/>
      <c r="O256" s="41"/>
      <c r="P256" s="41"/>
    </row>
    <row r="257" spans="1:16" s="42" customFormat="1">
      <c r="A257" s="45"/>
      <c r="L257" s="41"/>
      <c r="M257" s="41"/>
      <c r="N257" s="41"/>
      <c r="O257" s="41"/>
      <c r="P257" s="41"/>
    </row>
    <row r="258" spans="1:16" s="42" customFormat="1">
      <c r="A258" s="45"/>
      <c r="L258" s="41"/>
      <c r="M258" s="41"/>
      <c r="N258" s="41"/>
      <c r="O258" s="41"/>
      <c r="P258" s="41"/>
    </row>
    <row r="259" spans="1:16" s="42" customFormat="1">
      <c r="A259" s="45"/>
      <c r="L259" s="41"/>
      <c r="M259" s="41"/>
      <c r="N259" s="41"/>
      <c r="O259" s="41"/>
      <c r="P259" s="41"/>
    </row>
    <row r="260" spans="1:16" s="42" customFormat="1">
      <c r="A260" s="45"/>
      <c r="L260" s="41"/>
      <c r="M260" s="41"/>
      <c r="N260" s="41"/>
      <c r="O260" s="41"/>
      <c r="P260" s="41"/>
    </row>
    <row r="261" spans="1:16" s="42" customFormat="1">
      <c r="A261" s="45"/>
      <c r="L261" s="41"/>
      <c r="M261" s="41"/>
      <c r="N261" s="41"/>
      <c r="O261" s="41"/>
      <c r="P261" s="41"/>
    </row>
    <row r="262" spans="1:16" s="42" customFormat="1">
      <c r="A262" s="45"/>
      <c r="L262" s="41"/>
      <c r="M262" s="41"/>
      <c r="N262" s="41"/>
      <c r="O262" s="41"/>
      <c r="P262" s="41"/>
    </row>
    <row r="263" spans="1:16" s="42" customFormat="1">
      <c r="A263" s="45"/>
      <c r="L263" s="41"/>
      <c r="M263" s="41"/>
      <c r="N263" s="41"/>
      <c r="O263" s="41"/>
      <c r="P263" s="41"/>
    </row>
    <row r="264" spans="1:16" s="42" customFormat="1">
      <c r="A264" s="45"/>
      <c r="L264" s="41"/>
      <c r="M264" s="41"/>
      <c r="N264" s="41"/>
      <c r="O264" s="41"/>
      <c r="P264" s="41"/>
    </row>
    <row r="265" spans="1:16" s="42" customFormat="1">
      <c r="A265" s="45"/>
      <c r="L265" s="41"/>
      <c r="M265" s="41"/>
      <c r="N265" s="41"/>
      <c r="O265" s="41"/>
      <c r="P265" s="41"/>
    </row>
    <row r="266" spans="1:16" s="42" customFormat="1">
      <c r="A266" s="45"/>
      <c r="L266" s="41"/>
      <c r="M266" s="41"/>
      <c r="N266" s="41"/>
      <c r="O266" s="41"/>
      <c r="P266" s="41"/>
    </row>
    <row r="267" spans="1:16" s="42" customFormat="1">
      <c r="A267" s="45"/>
      <c r="L267" s="41"/>
      <c r="M267" s="41"/>
      <c r="N267" s="41"/>
      <c r="O267" s="41"/>
      <c r="P267" s="41"/>
    </row>
    <row r="268" spans="1:16" s="42" customFormat="1">
      <c r="A268" s="45"/>
      <c r="L268" s="41"/>
      <c r="M268" s="41"/>
      <c r="N268" s="41"/>
      <c r="O268" s="41"/>
      <c r="P268" s="41"/>
    </row>
    <row r="269" spans="1:16" s="42" customFormat="1">
      <c r="A269" s="45"/>
      <c r="L269" s="41"/>
      <c r="M269" s="41"/>
      <c r="N269" s="41"/>
      <c r="O269" s="41"/>
      <c r="P269" s="41"/>
    </row>
    <row r="270" spans="1:16" s="42" customFormat="1">
      <c r="A270" s="45"/>
      <c r="L270" s="41"/>
      <c r="M270" s="41"/>
      <c r="N270" s="41"/>
      <c r="O270" s="41"/>
      <c r="P270" s="41"/>
    </row>
    <row r="271" spans="1:16" s="42" customFormat="1">
      <c r="A271" s="45"/>
      <c r="L271" s="41"/>
      <c r="M271" s="41"/>
      <c r="N271" s="41"/>
      <c r="O271" s="41"/>
      <c r="P271" s="41"/>
    </row>
    <row r="272" spans="1:16" s="42" customFormat="1">
      <c r="A272" s="45"/>
      <c r="L272" s="41"/>
      <c r="M272" s="41"/>
      <c r="N272" s="41"/>
      <c r="O272" s="41"/>
      <c r="P272" s="41"/>
    </row>
    <row r="273" spans="1:16" s="42" customFormat="1">
      <c r="A273" s="45"/>
      <c r="L273" s="41"/>
      <c r="M273" s="41"/>
      <c r="N273" s="41"/>
      <c r="O273" s="41"/>
      <c r="P273" s="41"/>
    </row>
    <row r="274" spans="1:16" s="42" customFormat="1">
      <c r="A274" s="45"/>
      <c r="L274" s="41"/>
      <c r="M274" s="41"/>
      <c r="N274" s="41"/>
      <c r="O274" s="41"/>
      <c r="P274" s="41"/>
    </row>
    <row r="275" spans="1:16" s="42" customFormat="1">
      <c r="A275" s="45"/>
      <c r="L275" s="41"/>
      <c r="M275" s="41"/>
      <c r="N275" s="41"/>
      <c r="O275" s="41"/>
      <c r="P275" s="41"/>
    </row>
    <row r="276" spans="1:16" s="42" customFormat="1">
      <c r="A276" s="45"/>
      <c r="L276" s="41"/>
      <c r="M276" s="41"/>
      <c r="N276" s="41"/>
      <c r="O276" s="41"/>
      <c r="P276" s="41"/>
    </row>
    <row r="277" spans="1:16" s="42" customFormat="1">
      <c r="A277" s="45"/>
      <c r="L277" s="41"/>
      <c r="M277" s="41"/>
      <c r="N277" s="41"/>
      <c r="O277" s="41"/>
      <c r="P277" s="41"/>
    </row>
    <row r="278" spans="1:16" s="42" customFormat="1">
      <c r="A278" s="45"/>
      <c r="L278" s="41"/>
      <c r="M278" s="41"/>
      <c r="N278" s="41"/>
      <c r="O278" s="41"/>
      <c r="P278" s="41"/>
    </row>
    <row r="279" spans="1:16" s="42" customFormat="1">
      <c r="A279" s="45"/>
      <c r="L279" s="41"/>
      <c r="M279" s="41"/>
      <c r="N279" s="41"/>
      <c r="O279" s="41"/>
      <c r="P279" s="41"/>
    </row>
    <row r="280" spans="1:16" s="42" customFormat="1">
      <c r="A280" s="45"/>
      <c r="L280" s="41"/>
      <c r="M280" s="41"/>
      <c r="N280" s="41"/>
      <c r="O280" s="41"/>
      <c r="P280" s="41"/>
    </row>
    <row r="281" spans="1:16" s="42" customFormat="1">
      <c r="A281" s="45"/>
      <c r="L281" s="41"/>
      <c r="M281" s="41"/>
      <c r="N281" s="41"/>
      <c r="O281" s="41"/>
      <c r="P281" s="41"/>
    </row>
    <row r="282" spans="1:16" s="42" customFormat="1">
      <c r="A282" s="45"/>
      <c r="L282" s="41"/>
      <c r="M282" s="41"/>
      <c r="N282" s="41"/>
      <c r="O282" s="41"/>
      <c r="P282" s="41"/>
    </row>
    <row r="283" spans="1:16" s="42" customFormat="1">
      <c r="A283" s="45"/>
      <c r="L283" s="41"/>
      <c r="M283" s="41"/>
      <c r="N283" s="41"/>
      <c r="O283" s="41"/>
      <c r="P283" s="41"/>
    </row>
    <row r="284" spans="1:16" s="42" customFormat="1">
      <c r="A284" s="45"/>
      <c r="L284" s="41"/>
      <c r="M284" s="41"/>
      <c r="N284" s="41"/>
      <c r="O284" s="41"/>
      <c r="P284" s="41"/>
    </row>
    <row r="285" spans="1:16" s="42" customFormat="1">
      <c r="A285" s="45"/>
      <c r="L285" s="41"/>
      <c r="M285" s="41"/>
      <c r="N285" s="41"/>
      <c r="O285" s="41"/>
      <c r="P285" s="41"/>
    </row>
    <row r="286" spans="1:16" s="42" customFormat="1">
      <c r="A286" s="45"/>
      <c r="L286" s="41"/>
      <c r="M286" s="41"/>
      <c r="N286" s="41"/>
      <c r="O286" s="41"/>
      <c r="P286" s="41"/>
    </row>
    <row r="287" spans="1:16" s="42" customFormat="1">
      <c r="A287" s="45"/>
      <c r="L287" s="41"/>
      <c r="M287" s="41"/>
      <c r="N287" s="41"/>
      <c r="O287" s="41"/>
      <c r="P287" s="41"/>
    </row>
    <row r="288" spans="1:16" s="42" customFormat="1">
      <c r="A288" s="45"/>
      <c r="L288" s="41"/>
      <c r="M288" s="41"/>
      <c r="N288" s="41"/>
      <c r="O288" s="41"/>
      <c r="P288" s="41"/>
    </row>
    <row r="289" spans="1:16" s="42" customFormat="1">
      <c r="A289" s="45"/>
      <c r="L289" s="41"/>
      <c r="M289" s="41"/>
      <c r="N289" s="41"/>
      <c r="O289" s="41"/>
      <c r="P289" s="41"/>
    </row>
    <row r="290" spans="1:16" s="42" customFormat="1">
      <c r="A290" s="45"/>
      <c r="L290" s="41"/>
      <c r="M290" s="41"/>
      <c r="N290" s="41"/>
      <c r="O290" s="41"/>
      <c r="P290" s="41"/>
    </row>
    <row r="291" spans="1:16" s="42" customFormat="1">
      <c r="A291" s="45"/>
      <c r="L291" s="41"/>
      <c r="M291" s="41"/>
      <c r="N291" s="41"/>
      <c r="O291" s="41"/>
      <c r="P291" s="41"/>
    </row>
    <row r="292" spans="1:16" s="42" customFormat="1">
      <c r="A292" s="45"/>
      <c r="L292" s="41"/>
      <c r="M292" s="41"/>
      <c r="N292" s="41"/>
      <c r="O292" s="41"/>
      <c r="P292" s="41"/>
    </row>
    <row r="293" spans="1:16" s="42" customFormat="1">
      <c r="A293" s="45"/>
      <c r="L293" s="41"/>
      <c r="M293" s="41"/>
      <c r="N293" s="41"/>
      <c r="O293" s="41"/>
      <c r="P293" s="41"/>
    </row>
    <row r="294" spans="1:16" s="42" customFormat="1">
      <c r="A294" s="45"/>
      <c r="L294" s="41"/>
      <c r="M294" s="41"/>
      <c r="N294" s="41"/>
      <c r="O294" s="41"/>
      <c r="P294" s="41"/>
    </row>
    <row r="295" spans="1:16" s="42" customFormat="1">
      <c r="A295" s="45"/>
      <c r="L295" s="41"/>
      <c r="M295" s="41"/>
      <c r="N295" s="41"/>
      <c r="O295" s="41"/>
      <c r="P295" s="41"/>
    </row>
    <row r="296" spans="1:16" s="42" customFormat="1">
      <c r="A296" s="45"/>
      <c r="L296" s="41"/>
      <c r="M296" s="41"/>
      <c r="N296" s="41"/>
      <c r="O296" s="41"/>
      <c r="P296" s="41"/>
    </row>
    <row r="297" spans="1:16" s="42" customFormat="1">
      <c r="A297" s="45"/>
      <c r="L297" s="41"/>
      <c r="M297" s="41"/>
      <c r="N297" s="41"/>
      <c r="O297" s="41"/>
      <c r="P297" s="41"/>
    </row>
    <row r="298" spans="1:16" s="42" customFormat="1">
      <c r="A298" s="45"/>
      <c r="L298" s="41"/>
      <c r="M298" s="41"/>
      <c r="N298" s="41"/>
      <c r="O298" s="41"/>
      <c r="P298" s="41"/>
    </row>
    <row r="299" spans="1:16" s="42" customFormat="1">
      <c r="A299" s="45"/>
      <c r="L299" s="41"/>
      <c r="M299" s="41"/>
      <c r="N299" s="41"/>
      <c r="O299" s="41"/>
      <c r="P299" s="41"/>
    </row>
    <row r="300" spans="1:16" s="42" customFormat="1">
      <c r="A300" s="45"/>
      <c r="L300" s="41"/>
      <c r="M300" s="41"/>
      <c r="N300" s="41"/>
      <c r="O300" s="41"/>
      <c r="P300" s="41"/>
    </row>
    <row r="301" spans="1:16" s="42" customFormat="1">
      <c r="A301" s="45"/>
      <c r="L301" s="41"/>
      <c r="M301" s="41"/>
      <c r="N301" s="41"/>
      <c r="O301" s="41"/>
      <c r="P301" s="41"/>
    </row>
    <row r="302" spans="1:16" s="42" customFormat="1">
      <c r="A302" s="45"/>
      <c r="L302" s="41"/>
      <c r="M302" s="41"/>
      <c r="N302" s="41"/>
      <c r="O302" s="41"/>
      <c r="P302" s="41"/>
    </row>
    <row r="303" spans="1:16" s="42" customFormat="1">
      <c r="A303" s="45"/>
      <c r="L303" s="41"/>
      <c r="M303" s="41"/>
      <c r="N303" s="41"/>
      <c r="O303" s="41"/>
      <c r="P303" s="41"/>
    </row>
    <row r="304" spans="1:16" s="42" customFormat="1">
      <c r="A304" s="45"/>
      <c r="L304" s="41"/>
      <c r="M304" s="41"/>
      <c r="N304" s="41"/>
      <c r="O304" s="41"/>
      <c r="P304" s="41"/>
    </row>
    <row r="305" spans="1:16" s="42" customFormat="1">
      <c r="A305" s="45"/>
      <c r="L305" s="41"/>
      <c r="M305" s="41"/>
      <c r="N305" s="41"/>
      <c r="O305" s="41"/>
      <c r="P305" s="41"/>
    </row>
    <row r="306" spans="1:16" s="42" customFormat="1">
      <c r="A306" s="45"/>
      <c r="L306" s="41"/>
      <c r="M306" s="41"/>
      <c r="N306" s="41"/>
      <c r="O306" s="41"/>
      <c r="P306" s="41"/>
    </row>
    <row r="307" spans="1:16" s="42" customFormat="1">
      <c r="A307" s="45"/>
      <c r="L307" s="41"/>
      <c r="M307" s="41"/>
      <c r="N307" s="41"/>
      <c r="O307" s="41"/>
      <c r="P307" s="41"/>
    </row>
    <row r="308" spans="1:16" s="42" customFormat="1">
      <c r="A308" s="45"/>
      <c r="L308" s="41"/>
      <c r="M308" s="41"/>
      <c r="N308" s="41"/>
      <c r="O308" s="41"/>
      <c r="P308" s="41"/>
    </row>
    <row r="309" spans="1:16" s="42" customFormat="1">
      <c r="A309" s="45"/>
      <c r="L309" s="41"/>
      <c r="M309" s="41"/>
      <c r="N309" s="41"/>
      <c r="O309" s="41"/>
      <c r="P309" s="41"/>
    </row>
    <row r="310" spans="1:16" s="42" customFormat="1">
      <c r="A310" s="45"/>
      <c r="L310" s="41"/>
      <c r="M310" s="41"/>
      <c r="N310" s="41"/>
      <c r="O310" s="41"/>
      <c r="P310" s="41"/>
    </row>
    <row r="311" spans="1:16" s="42" customFormat="1">
      <c r="A311" s="45"/>
      <c r="L311" s="41"/>
      <c r="M311" s="41"/>
      <c r="N311" s="41"/>
      <c r="O311" s="41"/>
      <c r="P311" s="41"/>
    </row>
    <row r="312" spans="1:16" s="42" customFormat="1">
      <c r="A312" s="45"/>
      <c r="L312" s="41"/>
      <c r="M312" s="41"/>
      <c r="N312" s="41"/>
      <c r="O312" s="41"/>
      <c r="P312" s="41"/>
    </row>
    <row r="313" spans="1:16" s="42" customFormat="1">
      <c r="A313" s="45"/>
      <c r="L313" s="41"/>
      <c r="M313" s="41"/>
      <c r="N313" s="41"/>
      <c r="O313" s="41"/>
      <c r="P313" s="41"/>
    </row>
    <row r="314" spans="1:16" s="42" customFormat="1">
      <c r="A314" s="45"/>
      <c r="L314" s="41"/>
      <c r="M314" s="41"/>
      <c r="N314" s="41"/>
      <c r="O314" s="41"/>
      <c r="P314" s="41"/>
    </row>
    <row r="315" spans="1:16" s="42" customFormat="1">
      <c r="A315" s="45"/>
      <c r="L315" s="41"/>
      <c r="M315" s="41"/>
      <c r="N315" s="41"/>
      <c r="O315" s="41"/>
      <c r="P315" s="41"/>
    </row>
    <row r="316" spans="1:16" s="42" customFormat="1">
      <c r="A316" s="45"/>
      <c r="L316" s="41"/>
      <c r="M316" s="41"/>
      <c r="N316" s="41"/>
      <c r="O316" s="41"/>
      <c r="P316" s="41"/>
    </row>
    <row r="317" spans="1:16" s="42" customFormat="1">
      <c r="A317" s="45"/>
      <c r="L317" s="41"/>
      <c r="M317" s="41"/>
      <c r="N317" s="41"/>
      <c r="O317" s="41"/>
      <c r="P317" s="41"/>
    </row>
    <row r="318" spans="1:16" s="42" customFormat="1">
      <c r="A318" s="45"/>
      <c r="L318" s="41"/>
      <c r="M318" s="41"/>
      <c r="N318" s="41"/>
      <c r="O318" s="41"/>
      <c r="P318" s="41"/>
    </row>
    <row r="319" spans="1:16" s="42" customFormat="1">
      <c r="A319" s="45"/>
      <c r="L319" s="41"/>
      <c r="M319" s="41"/>
      <c r="N319" s="41"/>
      <c r="O319" s="41"/>
      <c r="P319" s="41"/>
    </row>
    <row r="320" spans="1:16" s="42" customFormat="1">
      <c r="A320" s="45"/>
      <c r="L320" s="41"/>
      <c r="M320" s="41"/>
      <c r="N320" s="41"/>
      <c r="O320" s="41"/>
      <c r="P320" s="41"/>
    </row>
    <row r="321" spans="1:16" s="42" customFormat="1">
      <c r="A321" s="45"/>
      <c r="L321" s="41"/>
      <c r="M321" s="41"/>
      <c r="N321" s="41"/>
      <c r="O321" s="41"/>
      <c r="P321" s="41"/>
    </row>
    <row r="322" spans="1:16" s="42" customFormat="1">
      <c r="A322" s="45"/>
      <c r="L322" s="41"/>
      <c r="M322" s="41"/>
      <c r="N322" s="41"/>
      <c r="O322" s="41"/>
      <c r="P322" s="41"/>
    </row>
    <row r="323" spans="1:16" s="42" customFormat="1">
      <c r="A323" s="45"/>
      <c r="L323" s="41"/>
      <c r="M323" s="41"/>
      <c r="N323" s="41"/>
      <c r="O323" s="41"/>
      <c r="P323" s="41"/>
    </row>
    <row r="324" spans="1:16" s="42" customFormat="1">
      <c r="A324" s="45"/>
      <c r="L324" s="41"/>
      <c r="M324" s="41"/>
      <c r="N324" s="41"/>
      <c r="O324" s="41"/>
      <c r="P324" s="41"/>
    </row>
    <row r="325" spans="1:16" s="42" customFormat="1">
      <c r="A325" s="45"/>
      <c r="L325" s="41"/>
      <c r="M325" s="41"/>
      <c r="N325" s="41"/>
      <c r="O325" s="41"/>
      <c r="P325" s="41"/>
    </row>
    <row r="326" spans="1:16" s="42" customFormat="1">
      <c r="A326" s="45"/>
      <c r="L326" s="41"/>
      <c r="M326" s="41"/>
      <c r="N326" s="41"/>
      <c r="O326" s="41"/>
      <c r="P326" s="41"/>
    </row>
    <row r="327" spans="1:16" s="42" customFormat="1">
      <c r="A327" s="45"/>
      <c r="L327" s="41"/>
      <c r="M327" s="41"/>
      <c r="N327" s="41"/>
      <c r="O327" s="41"/>
      <c r="P327" s="41"/>
    </row>
    <row r="328" spans="1:16" s="42" customFormat="1">
      <c r="A328" s="45"/>
      <c r="L328" s="41"/>
      <c r="M328" s="41"/>
      <c r="N328" s="41"/>
      <c r="O328" s="41"/>
      <c r="P328" s="41"/>
    </row>
    <row r="329" spans="1:16" s="42" customFormat="1">
      <c r="A329" s="45"/>
      <c r="L329" s="41"/>
      <c r="M329" s="41"/>
      <c r="N329" s="41"/>
      <c r="O329" s="41"/>
      <c r="P329" s="41"/>
    </row>
    <row r="330" spans="1:16" s="42" customFormat="1">
      <c r="A330" s="45"/>
      <c r="L330" s="41"/>
      <c r="M330" s="41"/>
      <c r="N330" s="41"/>
      <c r="O330" s="41"/>
      <c r="P330" s="41"/>
    </row>
    <row r="331" spans="1:16" s="42" customFormat="1">
      <c r="A331" s="45"/>
      <c r="L331" s="41"/>
      <c r="M331" s="41"/>
      <c r="N331" s="41"/>
      <c r="O331" s="41"/>
      <c r="P331" s="41"/>
    </row>
    <row r="332" spans="1:16" s="42" customFormat="1">
      <c r="A332" s="45"/>
      <c r="L332" s="41"/>
      <c r="M332" s="41"/>
      <c r="N332" s="41"/>
      <c r="O332" s="41"/>
      <c r="P332" s="41"/>
    </row>
    <row r="333" spans="1:16" s="42" customFormat="1">
      <c r="A333" s="45"/>
      <c r="L333" s="41"/>
      <c r="M333" s="41"/>
      <c r="N333" s="41"/>
      <c r="O333" s="41"/>
      <c r="P333" s="41"/>
    </row>
    <row r="334" spans="1:16" s="42" customFormat="1">
      <c r="A334" s="45"/>
      <c r="L334" s="41"/>
      <c r="M334" s="41"/>
      <c r="N334" s="41"/>
      <c r="O334" s="41"/>
      <c r="P334" s="41"/>
    </row>
    <row r="335" spans="1:16" s="42" customFormat="1">
      <c r="A335" s="45"/>
      <c r="L335" s="41"/>
      <c r="M335" s="41"/>
      <c r="N335" s="41"/>
      <c r="O335" s="41"/>
      <c r="P335" s="41"/>
    </row>
    <row r="336" spans="1:16" s="42" customFormat="1">
      <c r="A336" s="45"/>
      <c r="L336" s="41"/>
      <c r="M336" s="41"/>
      <c r="N336" s="41"/>
      <c r="O336" s="41"/>
      <c r="P336" s="41"/>
    </row>
    <row r="337" spans="1:16" s="42" customFormat="1">
      <c r="A337" s="45"/>
      <c r="L337" s="41"/>
      <c r="M337" s="41"/>
      <c r="N337" s="41"/>
      <c r="O337" s="41"/>
      <c r="P337" s="41"/>
    </row>
    <row r="338" spans="1:16" s="42" customFormat="1">
      <c r="A338" s="45"/>
      <c r="L338" s="41"/>
      <c r="M338" s="41"/>
      <c r="N338" s="41"/>
      <c r="O338" s="41"/>
      <c r="P338" s="41"/>
    </row>
    <row r="339" spans="1:16" s="42" customFormat="1">
      <c r="A339" s="45"/>
      <c r="L339" s="41"/>
      <c r="M339" s="41"/>
      <c r="N339" s="41"/>
      <c r="O339" s="41"/>
      <c r="P339" s="41"/>
    </row>
    <row r="340" spans="1:16" s="42" customFormat="1">
      <c r="A340" s="45"/>
      <c r="L340" s="41"/>
      <c r="M340" s="41"/>
      <c r="N340" s="41"/>
      <c r="O340" s="41"/>
      <c r="P340" s="41"/>
    </row>
    <row r="341" spans="1:16" s="42" customFormat="1">
      <c r="A341" s="45"/>
      <c r="L341" s="41"/>
      <c r="M341" s="41"/>
      <c r="N341" s="41"/>
      <c r="O341" s="41"/>
      <c r="P341" s="41"/>
    </row>
    <row r="342" spans="1:16" s="42" customFormat="1">
      <c r="A342" s="45"/>
      <c r="L342" s="41"/>
      <c r="M342" s="41"/>
      <c r="N342" s="41"/>
      <c r="O342" s="41"/>
      <c r="P342" s="41"/>
    </row>
    <row r="343" spans="1:16" s="42" customFormat="1">
      <c r="A343" s="45"/>
      <c r="L343" s="41"/>
      <c r="M343" s="41"/>
      <c r="N343" s="41"/>
      <c r="O343" s="41"/>
      <c r="P343" s="41"/>
    </row>
    <row r="344" spans="1:16" s="42" customFormat="1">
      <c r="A344" s="45"/>
      <c r="L344" s="41"/>
      <c r="M344" s="41"/>
      <c r="N344" s="41"/>
      <c r="O344" s="41"/>
      <c r="P344" s="41"/>
    </row>
    <row r="345" spans="1:16" s="42" customFormat="1">
      <c r="A345" s="45"/>
      <c r="L345" s="41"/>
      <c r="M345" s="41"/>
      <c r="N345" s="41"/>
      <c r="O345" s="41"/>
      <c r="P345" s="41"/>
    </row>
    <row r="346" spans="1:16" s="42" customFormat="1">
      <c r="A346" s="45"/>
      <c r="L346" s="41"/>
      <c r="M346" s="41"/>
      <c r="N346" s="41"/>
      <c r="O346" s="41"/>
      <c r="P346" s="41"/>
    </row>
    <row r="347" spans="1:16" s="42" customFormat="1">
      <c r="A347" s="45"/>
      <c r="L347" s="41"/>
      <c r="M347" s="41"/>
      <c r="N347" s="41"/>
      <c r="O347" s="41"/>
      <c r="P347" s="41"/>
    </row>
    <row r="348" spans="1:16" s="42" customFormat="1">
      <c r="A348" s="45"/>
      <c r="L348" s="41"/>
      <c r="M348" s="41"/>
      <c r="N348" s="41"/>
      <c r="O348" s="41"/>
      <c r="P348" s="41"/>
    </row>
    <row r="349" spans="1:16" s="42" customFormat="1">
      <c r="A349" s="45"/>
      <c r="L349" s="41"/>
      <c r="M349" s="41"/>
      <c r="N349" s="41"/>
      <c r="O349" s="41"/>
      <c r="P349" s="41"/>
    </row>
    <row r="350" spans="1:16" s="42" customFormat="1">
      <c r="A350" s="45"/>
      <c r="L350" s="41"/>
      <c r="M350" s="41"/>
      <c r="N350" s="41"/>
      <c r="O350" s="41"/>
      <c r="P350" s="41"/>
    </row>
    <row r="351" spans="1:16" s="42" customFormat="1">
      <c r="A351" s="45"/>
      <c r="L351" s="41"/>
      <c r="M351" s="41"/>
      <c r="N351" s="41"/>
      <c r="O351" s="41"/>
      <c r="P351" s="41"/>
    </row>
    <row r="352" spans="1:16" s="42" customFormat="1">
      <c r="A352" s="45"/>
      <c r="L352" s="41"/>
      <c r="M352" s="41"/>
      <c r="N352" s="41"/>
      <c r="O352" s="41"/>
      <c r="P352" s="41"/>
    </row>
    <row r="353" spans="1:16" s="42" customFormat="1">
      <c r="A353" s="45"/>
      <c r="L353" s="41"/>
      <c r="M353" s="41"/>
      <c r="N353" s="41"/>
      <c r="O353" s="41"/>
      <c r="P353" s="41"/>
    </row>
    <row r="354" spans="1:16" s="42" customFormat="1">
      <c r="A354" s="45"/>
      <c r="L354" s="41"/>
      <c r="M354" s="41"/>
      <c r="N354" s="41"/>
      <c r="O354" s="41"/>
      <c r="P354" s="41"/>
    </row>
    <row r="355" spans="1:16" s="42" customFormat="1">
      <c r="A355" s="45"/>
      <c r="L355" s="41"/>
      <c r="M355" s="41"/>
      <c r="N355" s="41"/>
      <c r="O355" s="41"/>
      <c r="P355" s="41"/>
    </row>
    <row r="356" spans="1:16" s="42" customFormat="1">
      <c r="A356" s="45"/>
      <c r="L356" s="41"/>
      <c r="M356" s="41"/>
      <c r="N356" s="41"/>
      <c r="O356" s="41"/>
      <c r="P356" s="41"/>
    </row>
    <row r="357" spans="1:16" s="42" customFormat="1">
      <c r="A357" s="45"/>
      <c r="L357" s="41"/>
      <c r="M357" s="41"/>
      <c r="N357" s="41"/>
      <c r="O357" s="41"/>
      <c r="P357" s="41"/>
    </row>
    <row r="358" spans="1:16" s="42" customFormat="1">
      <c r="A358" s="45"/>
      <c r="L358" s="41"/>
      <c r="M358" s="41"/>
      <c r="N358" s="41"/>
      <c r="O358" s="41"/>
      <c r="P358" s="41"/>
    </row>
    <row r="359" spans="1:16" s="42" customFormat="1">
      <c r="A359" s="45"/>
      <c r="L359" s="41"/>
      <c r="M359" s="41"/>
      <c r="N359" s="41"/>
      <c r="O359" s="41"/>
      <c r="P359" s="41"/>
    </row>
    <row r="360" spans="1:16" s="42" customFormat="1">
      <c r="A360" s="45"/>
      <c r="L360" s="41"/>
      <c r="M360" s="41"/>
      <c r="N360" s="41"/>
      <c r="O360" s="41"/>
      <c r="P360" s="41"/>
    </row>
    <row r="361" spans="1:16" s="42" customFormat="1">
      <c r="A361" s="45"/>
      <c r="L361" s="41"/>
      <c r="M361" s="41"/>
      <c r="N361" s="41"/>
      <c r="O361" s="41"/>
      <c r="P361" s="41"/>
    </row>
    <row r="362" spans="1:16" s="42" customFormat="1">
      <c r="A362" s="45"/>
      <c r="L362" s="41"/>
      <c r="M362" s="41"/>
      <c r="N362" s="41"/>
      <c r="O362" s="41"/>
      <c r="P362" s="41"/>
    </row>
    <row r="363" spans="1:16" s="42" customFormat="1">
      <c r="A363" s="45"/>
      <c r="L363" s="41"/>
      <c r="M363" s="41"/>
      <c r="N363" s="41"/>
      <c r="O363" s="41"/>
      <c r="P363" s="41"/>
    </row>
    <row r="364" spans="1:16" s="42" customFormat="1">
      <c r="A364" s="45"/>
      <c r="L364" s="41"/>
      <c r="M364" s="41"/>
      <c r="N364" s="41"/>
      <c r="O364" s="41"/>
      <c r="P364" s="41"/>
    </row>
    <row r="365" spans="1:16" s="42" customFormat="1">
      <c r="A365" s="45"/>
      <c r="L365" s="41"/>
      <c r="M365" s="41"/>
      <c r="N365" s="41"/>
      <c r="O365" s="41"/>
      <c r="P365" s="41"/>
    </row>
    <row r="366" spans="1:16" s="42" customFormat="1">
      <c r="A366" s="45"/>
      <c r="L366" s="41"/>
      <c r="M366" s="41"/>
      <c r="N366" s="41"/>
      <c r="O366" s="41"/>
      <c r="P366" s="41"/>
    </row>
    <row r="367" spans="1:16" s="42" customFormat="1">
      <c r="A367" s="45"/>
      <c r="L367" s="41"/>
      <c r="M367" s="41"/>
      <c r="N367" s="41"/>
      <c r="O367" s="41"/>
      <c r="P367" s="41"/>
    </row>
    <row r="368" spans="1:16" s="42" customFormat="1">
      <c r="A368" s="45"/>
      <c r="L368" s="41"/>
      <c r="M368" s="41"/>
      <c r="N368" s="41"/>
      <c r="O368" s="41"/>
      <c r="P368" s="41"/>
    </row>
    <row r="369" spans="1:16" s="42" customFormat="1">
      <c r="A369" s="45"/>
      <c r="L369" s="41"/>
      <c r="M369" s="41"/>
      <c r="N369" s="41"/>
      <c r="O369" s="41"/>
      <c r="P369" s="41"/>
    </row>
    <row r="370" spans="1:16" s="42" customFormat="1">
      <c r="A370" s="45"/>
      <c r="L370" s="41"/>
      <c r="M370" s="41"/>
      <c r="N370" s="41"/>
      <c r="O370" s="41"/>
      <c r="P370" s="41"/>
    </row>
    <row r="371" spans="1:16" s="42" customFormat="1">
      <c r="A371" s="45"/>
      <c r="L371" s="41"/>
      <c r="M371" s="41"/>
      <c r="N371" s="41"/>
      <c r="O371" s="41"/>
      <c r="P371" s="41"/>
    </row>
    <row r="372" spans="1:16" s="42" customFormat="1">
      <c r="A372" s="45"/>
      <c r="L372" s="41"/>
      <c r="M372" s="41"/>
      <c r="N372" s="41"/>
      <c r="O372" s="41"/>
      <c r="P372" s="41"/>
    </row>
    <row r="373" spans="1:16" s="42" customFormat="1">
      <c r="A373" s="45"/>
      <c r="L373" s="41"/>
      <c r="M373" s="41"/>
      <c r="N373" s="41"/>
      <c r="O373" s="41"/>
      <c r="P373" s="41"/>
    </row>
    <row r="374" spans="1:16" s="42" customFormat="1">
      <c r="A374" s="45"/>
      <c r="L374" s="41"/>
      <c r="M374" s="41"/>
      <c r="N374" s="41"/>
      <c r="O374" s="41"/>
      <c r="P374" s="41"/>
    </row>
    <row r="375" spans="1:16" s="42" customFormat="1">
      <c r="A375" s="45"/>
      <c r="L375" s="41"/>
      <c r="M375" s="41"/>
      <c r="N375" s="41"/>
      <c r="O375" s="41"/>
      <c r="P375" s="41"/>
    </row>
    <row r="376" spans="1:16" s="42" customFormat="1">
      <c r="A376" s="45"/>
      <c r="L376" s="41"/>
      <c r="M376" s="41"/>
      <c r="N376" s="41"/>
      <c r="O376" s="41"/>
      <c r="P376" s="41"/>
    </row>
    <row r="377" spans="1:16" s="42" customFormat="1">
      <c r="A377" s="45"/>
      <c r="L377" s="41"/>
      <c r="M377" s="41"/>
      <c r="N377" s="41"/>
      <c r="O377" s="41"/>
      <c r="P377" s="41"/>
    </row>
    <row r="378" spans="1:16" s="42" customFormat="1">
      <c r="A378" s="45"/>
      <c r="L378" s="41"/>
      <c r="M378" s="41"/>
      <c r="N378" s="41"/>
      <c r="O378" s="41"/>
      <c r="P378" s="41"/>
    </row>
    <row r="379" spans="1:16" s="42" customFormat="1">
      <c r="A379" s="45"/>
      <c r="L379" s="41"/>
      <c r="M379" s="41"/>
      <c r="N379" s="41"/>
      <c r="O379" s="41"/>
      <c r="P379" s="41"/>
    </row>
    <row r="380" spans="1:16" s="42" customFormat="1">
      <c r="A380" s="45"/>
      <c r="L380" s="41"/>
      <c r="M380" s="41"/>
      <c r="N380" s="41"/>
      <c r="O380" s="41"/>
      <c r="P380" s="41"/>
    </row>
    <row r="381" spans="1:16" s="42" customFormat="1">
      <c r="A381" s="45"/>
      <c r="L381" s="41"/>
      <c r="M381" s="41"/>
      <c r="N381" s="41"/>
      <c r="O381" s="41"/>
      <c r="P381" s="41"/>
    </row>
    <row r="382" spans="1:16" s="42" customFormat="1">
      <c r="A382" s="45"/>
      <c r="L382" s="41"/>
      <c r="M382" s="41"/>
      <c r="N382" s="41"/>
      <c r="O382" s="41"/>
      <c r="P382" s="41"/>
    </row>
    <row r="383" spans="1:16" s="42" customFormat="1">
      <c r="A383" s="45"/>
      <c r="L383" s="41"/>
      <c r="M383" s="41"/>
      <c r="N383" s="41"/>
      <c r="O383" s="41"/>
      <c r="P383" s="41"/>
    </row>
    <row r="384" spans="1:16" s="42" customFormat="1">
      <c r="A384" s="45"/>
      <c r="L384" s="41"/>
      <c r="M384" s="41"/>
      <c r="N384" s="41"/>
      <c r="O384" s="41"/>
      <c r="P384" s="41"/>
    </row>
    <row r="385" spans="12:16">
      <c r="L385" s="48"/>
      <c r="M385" s="48"/>
      <c r="N385" s="48"/>
      <c r="O385" s="48"/>
      <c r="P385" s="48"/>
    </row>
  </sheetData>
  <mergeCells count="133">
    <mergeCell ref="X1:AB1"/>
    <mergeCell ref="A3:AB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  <mergeCell ref="Z6:AB6"/>
    <mergeCell ref="A17:C17"/>
    <mergeCell ref="A18:B18"/>
    <mergeCell ref="C18:E18"/>
    <mergeCell ref="A25:B25"/>
    <mergeCell ref="A26:B26"/>
    <mergeCell ref="C26:E26"/>
    <mergeCell ref="Z7:AA7"/>
    <mergeCell ref="AB7:AB8"/>
    <mergeCell ref="A10:Y10"/>
    <mergeCell ref="B11:Y11"/>
    <mergeCell ref="A13:B13"/>
    <mergeCell ref="C13:E13"/>
    <mergeCell ref="Q7:Q8"/>
    <mergeCell ref="R7:S7"/>
    <mergeCell ref="T7:U7"/>
    <mergeCell ref="V7:V8"/>
    <mergeCell ref="W7:X7"/>
    <mergeCell ref="Y7:Y8"/>
    <mergeCell ref="E7:F7"/>
    <mergeCell ref="G7:G8"/>
    <mergeCell ref="I7:I8"/>
    <mergeCell ref="J7:K7"/>
    <mergeCell ref="M7:M8"/>
    <mergeCell ref="N7:O7"/>
    <mergeCell ref="A41:B41"/>
    <mergeCell ref="A42:B42"/>
    <mergeCell ref="C42:E42"/>
    <mergeCell ref="A46:B46"/>
    <mergeCell ref="A47:B47"/>
    <mergeCell ref="C47:E47"/>
    <mergeCell ref="A29:B29"/>
    <mergeCell ref="A30:B30"/>
    <mergeCell ref="C30:E30"/>
    <mergeCell ref="A37:B37"/>
    <mergeCell ref="A38:B38"/>
    <mergeCell ref="C38:E38"/>
    <mergeCell ref="A61:B61"/>
    <mergeCell ref="A62:B62"/>
    <mergeCell ref="C62:E62"/>
    <mergeCell ref="A66:B66"/>
    <mergeCell ref="A67:B67"/>
    <mergeCell ref="C67:E67"/>
    <mergeCell ref="A51:C51"/>
    <mergeCell ref="A52:B52"/>
    <mergeCell ref="C52:E52"/>
    <mergeCell ref="A57:B57"/>
    <mergeCell ref="A58:B58"/>
    <mergeCell ref="C58:E58"/>
    <mergeCell ref="A78:B78"/>
    <mergeCell ref="A79:B79"/>
    <mergeCell ref="C79:E79"/>
    <mergeCell ref="A83:C83"/>
    <mergeCell ref="A84:B84"/>
    <mergeCell ref="C84:E84"/>
    <mergeCell ref="A69:B69"/>
    <mergeCell ref="A70:B70"/>
    <mergeCell ref="C70:E70"/>
    <mergeCell ref="A74:B74"/>
    <mergeCell ref="A75:B75"/>
    <mergeCell ref="C75:E75"/>
    <mergeCell ref="A95:B95"/>
    <mergeCell ref="A96:B96"/>
    <mergeCell ref="C96:E96"/>
    <mergeCell ref="A105:C105"/>
    <mergeCell ref="A106:B106"/>
    <mergeCell ref="C106:E106"/>
    <mergeCell ref="A86:B86"/>
    <mergeCell ref="A87:B87"/>
    <mergeCell ref="C87:E87"/>
    <mergeCell ref="A89:B89"/>
    <mergeCell ref="A90:B90"/>
    <mergeCell ref="C90:E90"/>
    <mergeCell ref="AB107:AB108"/>
    <mergeCell ref="A110:B110"/>
    <mergeCell ref="A111:B111"/>
    <mergeCell ref="C111:E111"/>
    <mergeCell ref="V113:V114"/>
    <mergeCell ref="A115:C115"/>
    <mergeCell ref="V107:V108"/>
    <mergeCell ref="W107:W108"/>
    <mergeCell ref="X107:X108"/>
    <mergeCell ref="Y107:Y108"/>
    <mergeCell ref="Z107:Z108"/>
    <mergeCell ref="AA107:AA108"/>
    <mergeCell ref="A107:A108"/>
    <mergeCell ref="B107:B108"/>
    <mergeCell ref="F107:F108"/>
    <mergeCell ref="G107:G108"/>
    <mergeCell ref="T107:T108"/>
    <mergeCell ref="U107:U108"/>
    <mergeCell ref="G125:G128"/>
    <mergeCell ref="Y125:Y128"/>
    <mergeCell ref="AB125:AB128"/>
    <mergeCell ref="A129:B129"/>
    <mergeCell ref="A132:B132"/>
    <mergeCell ref="A133:B133"/>
    <mergeCell ref="A116:B116"/>
    <mergeCell ref="C116:E116"/>
    <mergeCell ref="A118:C118"/>
    <mergeCell ref="B120:Y120"/>
    <mergeCell ref="Z120:AB120"/>
    <mergeCell ref="A122:B122"/>
    <mergeCell ref="A146:B146"/>
    <mergeCell ref="A148:B148"/>
    <mergeCell ref="A150:B150"/>
    <mergeCell ref="A152:B152"/>
    <mergeCell ref="A154:B154"/>
    <mergeCell ref="A135:C135"/>
    <mergeCell ref="B136:Y136"/>
    <mergeCell ref="Z136:AB136"/>
    <mergeCell ref="A138:B138"/>
    <mergeCell ref="A140:B140"/>
    <mergeCell ref="A144:B144"/>
  </mergeCells>
  <printOptions horizontalCentered="1"/>
  <pageMargins left="0.59055118110236227" right="0.59055118110236227" top="0.59055118110236227" bottom="0.59055118110236227" header="0.39370078740157483" footer="0.51181102362204722"/>
  <pageSetup paperSize="9" scale="49" firstPageNumber="71" fitToHeight="26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27.04.2024 УТОЧ </vt:lpstr>
      <vt:lpstr>'27.04.2024 УТОЧ '!Заголовки_для_печати</vt:lpstr>
      <vt:lpstr>'27.04.2024 УТОЧ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2024-05-03T09:13:51Z</cp:lastPrinted>
  <dcterms:created xsi:type="dcterms:W3CDTF">2023-06-29T08:05:20Z</dcterms:created>
  <dcterms:modified xsi:type="dcterms:W3CDTF">2024-05-03T09:13:53Z</dcterms:modified>
</cp:coreProperties>
</file>