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бюдж 25-27 2чт УТОЧЧЧ" sheetId="1" state="visible" r:id="rId3"/>
  </sheets>
  <definedNames>
    <definedName function="false" hidden="false" localSheetId="0" name="_xlnm.Print_Area" vbProcedure="false">'бюдж 25-27 2чт УТОЧЧЧ'!$A$1:$AJ$198</definedName>
    <definedName function="false" hidden="false" localSheetId="0" name="_xlnm.Print_Titles" vbProcedure="false">'бюдж 25-27 2чт УТОЧЧЧ'!$5:$9</definedName>
    <definedName function="false" hidden="false" localSheetId="0" name="Z_D9A49370_59EF_4DF5_B20D_A46D1CBDF607_.wvu.PrintTitles" vbProcedure="false">'бюдж 25-27 2чт УТОЧЧЧ'!$5:$8</definedName>
    <definedName function="false" hidden="false" localSheetId="0" name="Z_D9A49370_59EF_4DF5_B20D_A46D1CBDF607_.wvu.Rows" vbProcedure="false">'04.12.204 бюдж 25-27 2чт уточчч'!#ref!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<sst xmlns="http://schemas.openxmlformats.org/spreadsheetml/2006/main" count="340" uniqueCount="194">
  <si>
    <t xml:space="preserve">                                                                                                 Приложение  № 1                                                                                                                            к государственной программе Белгородской области «Совершенствование                                              и развитие транспортной системы и дорожной сети Белгородской области»</t>
  </si>
  <si>
    <t xml:space="preserve">Перечень объектов по ремонту  автомобильных дорог и искусственных сооружений на них на 2024 - 2026 годы в рамках регионального проекта «Региональная и местная дорожная сеть»</t>
  </si>
  <si>
    <t xml:space="preserve">№ п/п</t>
  </si>
  <si>
    <t xml:space="preserve">Наименование объекта</t>
  </si>
  <si>
    <t xml:space="preserve">Катего-рия</t>
  </si>
  <si>
    <t xml:space="preserve">Параметры сооружения</t>
  </si>
  <si>
    <t xml:space="preserve">ВСЕГО</t>
  </si>
  <si>
    <t xml:space="preserve">2019 год</t>
  </si>
  <si>
    <t xml:space="preserve">2020 год</t>
  </si>
  <si>
    <t xml:space="preserve">2021 год</t>
  </si>
  <si>
    <t xml:space="preserve">Объём финансирования по годам</t>
  </si>
  <si>
    <t xml:space="preserve">км</t>
  </si>
  <si>
    <t xml:space="preserve">Стоимость, тыс. рублей</t>
  </si>
  <si>
    <t xml:space="preserve">2024 год</t>
  </si>
  <si>
    <t xml:space="preserve">2025 год</t>
  </si>
  <si>
    <t xml:space="preserve">2026 год</t>
  </si>
  <si>
    <t xml:space="preserve">Протяженность</t>
  </si>
  <si>
    <t xml:space="preserve">  Стоимость, тыс. рублей</t>
  </si>
  <si>
    <t xml:space="preserve">Всего</t>
  </si>
  <si>
    <t xml:space="preserve">в том числе</t>
  </si>
  <si>
    <t xml:space="preserve">пог. м</t>
  </si>
  <si>
    <t xml:space="preserve">областной бюджет</t>
  </si>
  <si>
    <t xml:space="preserve">федераль-ный бюджет</t>
  </si>
  <si>
    <t xml:space="preserve">федеральный бюджет</t>
  </si>
  <si>
    <t xml:space="preserve">муниципаль-ный бюджет</t>
  </si>
  <si>
    <t xml:space="preserve">Региональный проект «Региональная и местная дорожная сеть», входящий в национальный проект </t>
  </si>
  <si>
    <t xml:space="preserve">I</t>
  </si>
  <si>
    <t xml:space="preserve">Приведены в нормативное состояние / построены искусственные сооружения на автомобильных дорогах регионального или межмуниципального и местного значения</t>
  </si>
  <si>
    <t xml:space="preserve">Капитально отремонтировано автодорог</t>
  </si>
  <si>
    <t xml:space="preserve">Алексеевский муниципальный округ</t>
  </si>
  <si>
    <t xml:space="preserve">Иващенково - Березки, км 0+000 - км 2+500</t>
  </si>
  <si>
    <t xml:space="preserve">IV</t>
  </si>
  <si>
    <t xml:space="preserve">Красногвардейский район</t>
  </si>
  <si>
    <t xml:space="preserve">«Бирюч - Калиново - Никитовка» - Арнаутово, км 0+000 -  км 2+800 </t>
  </si>
  <si>
    <t xml:space="preserve">V</t>
  </si>
  <si>
    <t xml:space="preserve">Чернянский район </t>
  </si>
  <si>
    <t xml:space="preserve">Владимировка - Новоалександровка - Ларисовка, км 0+000 - км 2+300</t>
  </si>
  <si>
    <t xml:space="preserve">Отремонтировано автомобильных дорог</t>
  </si>
  <si>
    <t xml:space="preserve">ВСЕГО  по автодорогам, </t>
  </si>
  <si>
    <t xml:space="preserve"> - регионального значения </t>
  </si>
  <si>
    <t xml:space="preserve"> - местного значения</t>
  </si>
  <si>
    <t xml:space="preserve">Гезов - Хлевище - Попасный - Мирный,            0+000 - км 7+640</t>
  </si>
  <si>
    <t xml:space="preserve">ИТОГО по Алексеевскому муниципальному округу</t>
  </si>
  <si>
    <t xml:space="preserve">Белгородский район</t>
  </si>
  <si>
    <t xml:space="preserve">Разумное - Севрюково - Новосадовый,               км 8+245 - км 14+635 </t>
  </si>
  <si>
    <t xml:space="preserve">II</t>
  </si>
  <si>
    <t xml:space="preserve">«Крым» - Комсомольский - Красиво,                 км 0+020 - км 2+975; км 6+670 - км 9+020</t>
  </si>
  <si>
    <t xml:space="preserve">Стрелецкое - Раково,  км 0+000 -  км 5+050</t>
  </si>
  <si>
    <t xml:space="preserve"> </t>
  </si>
  <si>
    <t xml:space="preserve">«Крым» - Октябрьский - Бессоновка,                 км 12+000 - км 16+150</t>
  </si>
  <si>
    <t xml:space="preserve">III</t>
  </si>
  <si>
    <t xml:space="preserve">Долбино - Угрим, км 0+000 - км 2+900</t>
  </si>
  <si>
    <t xml:space="preserve">  </t>
  </si>
  <si>
    <t xml:space="preserve">Белгород - Шебекино - Волоконовка,               км 6+800  - км 8+280</t>
  </si>
  <si>
    <t xml:space="preserve">Подъезд к селу Нижний Ольшанец,                   км 0+745 - км 3+650</t>
  </si>
  <si>
    <t xml:space="preserve">Автодороги регионального значения </t>
  </si>
  <si>
    <t xml:space="preserve">Автодороги местного значения</t>
  </si>
  <si>
    <t xml:space="preserve">ИТОГО по Белгородскому району</t>
  </si>
  <si>
    <t xml:space="preserve">Борисовский район</t>
  </si>
  <si>
    <t xml:space="preserve">«Белгород - Грайворон» - Козинка,                      км 37+000 - км 42+630</t>
  </si>
  <si>
    <t xml:space="preserve">Борисовка - Пролетарский - Октябрьская Готня - станция Кулиновка - Красный Куток, км 0+015 - км 4+000</t>
  </si>
  <si>
    <t xml:space="preserve">«Борисовка - Хотмыжск - Никитское - Русская Березовка» - Дубино, км 0+000 - км 1+700 </t>
  </si>
  <si>
    <t xml:space="preserve">ИТОГО по Борисовскому району</t>
  </si>
  <si>
    <t xml:space="preserve">Валуйский муниципальный округ</t>
  </si>
  <si>
    <t xml:space="preserve">«Валуйки - Казинка - Вериговка» - Бирюч, 
км 0+000 - км 0+620</t>
  </si>
  <si>
    <t xml:space="preserve">«Валуйки - Казинка - Вериговка»,                                        км 26+800 - км 32+550</t>
  </si>
  <si>
    <t xml:space="preserve">«Новый Оскол - Валуйки - Ровеньки» - Принцевка, км 0+032 - км 0+900</t>
  </si>
  <si>
    <t xml:space="preserve">    </t>
  </si>
  <si>
    <t xml:space="preserve">«Валуйки - Казинка - Вериговка» - Конопляновка» - Гладково,                                км 0+000 - км 4+764</t>
  </si>
  <si>
    <t xml:space="preserve">     </t>
  </si>
  <si>
    <t xml:space="preserve">«Валуйки - Казинка - Вериговка» - Дубровка,    км 0+000 - км 1+600 </t>
  </si>
  <si>
    <t xml:space="preserve">Валуйки - Пристень - Борки,                              км 0+000 - км 3+900 </t>
  </si>
  <si>
    <t xml:space="preserve">ИТОГО по Валуйскому муниципальному округу</t>
  </si>
  <si>
    <t xml:space="preserve">Вейделевский район</t>
  </si>
  <si>
    <t xml:space="preserve">«Новый Оскол - Валуйки - Ровеньки» - Колесников, км 0+000 - км 3+000</t>
  </si>
  <si>
    <t xml:space="preserve">IV/V</t>
  </si>
  <si>
    <t xml:space="preserve">Долгое - Россошь - Потоловка,                          км 0+000 - км 7+000 </t>
  </si>
  <si>
    <t xml:space="preserve">ИТОГО по Вейделевскому району</t>
  </si>
  <si>
    <t xml:space="preserve">Волоконовский район</t>
  </si>
  <si>
    <t xml:space="preserve">Подъезд к селу Грушевка,                                             км 0+000 - км 3+600</t>
  </si>
  <si>
    <t xml:space="preserve">Подъезд к с. Грушевка</t>
  </si>
  <si>
    <t xml:space="preserve">Ульяновка - Голофеевка,                                км 0+000 - км 6+600</t>
  </si>
  <si>
    <t xml:space="preserve">Волоконовка - Ливенка - Никитовка - Покровка - Шеншиновка,                                 км 0+000 - км 14+000</t>
  </si>
  <si>
    <t xml:space="preserve">Новый Оскол - Валуйки - Ровеньки,             км 28+800 - км 31+000, км 31+150 -               км 32+600, км 34+900 - км 40+100</t>
  </si>
  <si>
    <t xml:space="preserve"> «Волоконовка - Ливенка - Никитовка» - Пыточный - Покровка - Шеншиновка,               км 6+850 - км 14+000</t>
  </si>
  <si>
    <t xml:space="preserve"> «Волоконовка - Ливенка - Никитовка» - Пыточный - Покровка - Шеншиновка,               км 0+000-км 6+850                                                                   </t>
  </si>
  <si>
    <t xml:space="preserve">Обход п. Пятницкое, км 0+000 - км 5+000</t>
  </si>
  <si>
    <t xml:space="preserve">ИТОГО по Волоконовскому району</t>
  </si>
  <si>
    <t xml:space="preserve">Грайворонский городской округ</t>
  </si>
  <si>
    <t xml:space="preserve">«Головчино - Доброполье» - Горьковский,              км 0+000 - км 1+700</t>
  </si>
  <si>
    <t xml:space="preserve">ИТОГО по Грайворонскому городскому округу</t>
  </si>
  <si>
    <t xml:space="preserve">Губкинский городской округ</t>
  </si>
  <si>
    <t xml:space="preserve">Скородное - Кочки, км 7+100 - км 11+000</t>
  </si>
  <si>
    <t xml:space="preserve">Короча - Губкин - граница Курской области,   км 23+000 - км 29+000</t>
  </si>
  <si>
    <t xml:space="preserve">ИТОГО по Губкинскому городскому округу</t>
  </si>
  <si>
    <t xml:space="preserve">Ивнянский район</t>
  </si>
  <si>
    <t xml:space="preserve">«Крым» - Ивня - Ракитное - Курасовка,             км 0+000 - км 2+300</t>
  </si>
  <si>
    <t xml:space="preserve">Ивня - Песчаное - Череново,                              км 0+000 - км 3+070 - 2025 год;                        км 3+070 - км 7+370 - 2026 год</t>
  </si>
  <si>
    <t xml:space="preserve">«Крым» - Сухосолотино, км 0+000 - км 4+300</t>
  </si>
  <si>
    <t xml:space="preserve">ИТОГО по Ивнянскому району</t>
  </si>
  <si>
    <t xml:space="preserve">Корочанский район</t>
  </si>
  <si>
    <t xml:space="preserve">«Короча - Чернянка - Красное» - Бубново - Васильдол, км 0+000 - км 4+100</t>
  </si>
  <si>
    <t xml:space="preserve">Короча - Губкин - граница Курской области,   км 13+500 -км 19+500</t>
  </si>
  <si>
    <t xml:space="preserve">Подьезд к с. Шляхово, км 0+000 - км 2+900</t>
  </si>
  <si>
    <t xml:space="preserve">ИТОГО по Корочанскому району</t>
  </si>
  <si>
    <t xml:space="preserve">Красненский район</t>
  </si>
  <si>
    <t xml:space="preserve">Короча - Чернянка - Красное - Новосолдатка, км 0+000 - км 3+900</t>
  </si>
  <si>
    <t xml:space="preserve">Красное - Польниково, км 0+000 - км 4+200</t>
  </si>
  <si>
    <t xml:space="preserve">«Камызино - Новоуколово - Владимировка - Обуховка» - Ураково, км 0+000 - км 1+2000</t>
  </si>
  <si>
    <t xml:space="preserve">«Красное - Свистовка - Киселевка» - Малиново, км 0+000 - км 2+100</t>
  </si>
  <si>
    <t xml:space="preserve">ИТОГО по Красненскому району</t>
  </si>
  <si>
    <t xml:space="preserve">«Котляров - Ливенка» - Ковалев,                       км 0+000 - км 4+400</t>
  </si>
  <si>
    <t xml:space="preserve">«Белгород - Новый Оскол - Советское» - Веселое - Николаевский с подъездом к селу Николаевский, км 6+000 - км 11+400 </t>
  </si>
  <si>
    <t xml:space="preserve">ИТОГО по Красногвардейскому району</t>
  </si>
  <si>
    <t xml:space="preserve">Краснояружский район</t>
  </si>
  <si>
    <t xml:space="preserve">Красная Яруга - Степное - Семейный -              Илек-Кошары, км 3+700 - 6+800</t>
  </si>
  <si>
    <t xml:space="preserve">ИТОГО по Краснояружскому району</t>
  </si>
  <si>
    <t xml:space="preserve">Новооскольский муниципальный округ</t>
  </si>
  <si>
    <t xml:space="preserve">Беломестное - Слоновка - Николаевка - Львовка, км 0+000 - км 12+020;  км 23+485 - км 25+215                                       </t>
  </si>
  <si>
    <t xml:space="preserve">Новый Оскол - Ниновка, км 0+000 - км 2+226 </t>
  </si>
  <si>
    <r>
      <rPr>
        <sz val="16"/>
        <rFont val="Times New Roman"/>
        <family val="1"/>
        <charset val="204"/>
      </rPr>
      <t xml:space="preserve">«Белгород - Новый Оскол - Советское» - Богородское, км  0+053 - км 9+700</t>
    </r>
    <r>
      <rPr>
        <b val="true"/>
        <sz val="12"/>
        <rFont val="Times New Roman"/>
        <family val="1"/>
        <charset val="204"/>
      </rPr>
      <t xml:space="preserve"> </t>
    </r>
  </si>
  <si>
    <t xml:space="preserve">Великомихайловка - Подвислое,                         км 0+000 - км 2+800</t>
  </si>
  <si>
    <t xml:space="preserve">ИТОГО по Новооскольскому муниципальному округу</t>
  </si>
  <si>
    <t xml:space="preserve">Прохоровский  район</t>
  </si>
  <si>
    <t xml:space="preserve">Подольхи - Гнездиловка - Черновка,                 км 8+300 - км 11+800 - 2025 год;                      км 0+000 - км 8+300 - 2026 год</t>
  </si>
  <si>
    <t xml:space="preserve">Прохоровка - Плота - Ржавец - Казачье,                                                           км 25+500 - км 33+100</t>
  </si>
  <si>
    <t xml:space="preserve">ИТОГО по Прохоровскому району</t>
  </si>
  <si>
    <t xml:space="preserve">Ракитянский район</t>
  </si>
  <si>
    <t xml:space="preserve">Борисовка - Пролетарский,                                км 27+410 - км 30+230</t>
  </si>
  <si>
    <t xml:space="preserve">   </t>
  </si>
  <si>
    <t xml:space="preserve">«Томаровка - Красная Яруга -                             Илек-Пеньковка - Колотиловка» - Коровино,   км  6+300 - км 9+800</t>
  </si>
  <si>
    <t xml:space="preserve">«Томаровка -Красная Яруга -                              Илек-Пеньковка - Колотиловка» - Коровино,   км 0+000 - км 6+300 </t>
  </si>
  <si>
    <t xml:space="preserve">ИТОГО по Ракитянскому району:</t>
  </si>
  <si>
    <t xml:space="preserve">Ровеньский район</t>
  </si>
  <si>
    <t xml:space="preserve">«Белгород - Новый Оскол - Советское» - Айдар, км 32+250 - км 38+268</t>
  </si>
  <si>
    <t xml:space="preserve">«Белгород - Новый Оскол - Советское» - Айдар, км 23+250 - км 27+000</t>
  </si>
  <si>
    <t xml:space="preserve">«Еремовка - Ровеньки - Нижняя Серебрянка» - Верхняя Серебрянка, км 0+000 - км 6+900</t>
  </si>
  <si>
    <t xml:space="preserve">ИТОГО по Ровеньскому району</t>
  </si>
  <si>
    <t xml:space="preserve">Старооскольский городской округ</t>
  </si>
  <si>
    <t xml:space="preserve">Владимировка - Новоалександровка - Ларисовка, км 1+820 - км 8+630</t>
  </si>
  <si>
    <t xml:space="preserve">Шаталовка - Потудань, км 0+000 - км 6+000</t>
  </si>
  <si>
    <t xml:space="preserve">Магистраль 1-1, км 15+515 - км 21+515</t>
  </si>
  <si>
    <t xml:space="preserve">ИТОГО по Старооскольскому городскому округу</t>
  </si>
  <si>
    <t xml:space="preserve">Красный Остров - Русская Халань,                    км 0+000 - км 3+800</t>
  </si>
  <si>
    <t xml:space="preserve">«Короча - Чернянка - Красное» - Новая Масловка, км 0+000 - км 5+000</t>
  </si>
  <si>
    <t xml:space="preserve">ИТОГО по Чернянскому району</t>
  </si>
  <si>
    <t xml:space="preserve">Шебекинский муниципальный округ</t>
  </si>
  <si>
    <t xml:space="preserve">Артельное - Булановка - Бершаково,                 км 0+000 - км 8+320</t>
  </si>
  <si>
    <t xml:space="preserve">Максимовка - Мешковое - Терезовка,                                   км 0+000 - км 9+500</t>
  </si>
  <si>
    <t xml:space="preserve">ИТОГО по Шебекинскому муниципальному округу</t>
  </si>
  <si>
    <t xml:space="preserve">Яковлевский муниципальный округ</t>
  </si>
  <si>
    <t xml:space="preserve">Жданов - Гостищево, км 0+000 - км 3+230</t>
  </si>
  <si>
    <t xml:space="preserve">Томаровка - Строитель - «Крым»,                      км 0+000 - км 6+400</t>
  </si>
  <si>
    <t xml:space="preserve">ИТОГО по Яковлевскому муниципальному округу</t>
  </si>
  <si>
    <t xml:space="preserve">город Белгород</t>
  </si>
  <si>
    <t xml:space="preserve">ИТОГО по городу Белгороду</t>
  </si>
  <si>
    <t xml:space="preserve">резерв</t>
  </si>
  <si>
    <t xml:space="preserve">ВСЕГО  по искусственным сооружениям  </t>
  </si>
  <si>
    <t xml:space="preserve"> - регионального значения, из них: </t>
  </si>
  <si>
    <t xml:space="preserve">авансы 2023 год</t>
  </si>
  <si>
    <t xml:space="preserve"> - реконструировано</t>
  </si>
  <si>
    <t xml:space="preserve"> - капитально отремонтировано</t>
  </si>
  <si>
    <t xml:space="preserve"> - отремонтировано</t>
  </si>
  <si>
    <t xml:space="preserve"> - местного значения, из них: </t>
  </si>
  <si>
    <t xml:space="preserve">Ремонт путепровода через железную дорогу  на ул. Революционная в городе Алексеевка Алексеевского городского округа Белгородской области</t>
  </si>
  <si>
    <t xml:space="preserve">Реконструкция мостового перехода через реку Черная Калитва на км 0+140 автомобильной дороги «Белгород - Новый Оскол - Советское» - Шапорево в Алексевском городском округе</t>
  </si>
  <si>
    <t xml:space="preserve">Капитальный  ремонт моста  (левый) через       р. Искринка на км 9+840 автодороги                Белгород - Грайворон - Козинка </t>
  </si>
  <si>
    <t xml:space="preserve">Ремонт моста (правый) через р. Искринка         на км 9+840 автодороги Белгород -                  Грайворон - Козинка </t>
  </si>
  <si>
    <t xml:space="preserve">Капитальный ремонт моста через р. Ворскла    на км 0+250 автомобильной дороги                  Борисовка - Пролетарский</t>
  </si>
  <si>
    <t xml:space="preserve">Ремонт моста через р. Ворскла на км 0+800 автомобильной дороги Порубежное - Теплое</t>
  </si>
  <si>
    <t xml:space="preserve">Капитальный ремонт моста через реку Валуй  на ул. Демьяна Бедного в городе Валуйки </t>
  </si>
  <si>
    <t xml:space="preserve">Ремонт путепровода через ж/д пути                    на км 75+080 автодороги Новый Оскол -Валуйки - Ровеньки </t>
  </si>
  <si>
    <t xml:space="preserve">      </t>
  </si>
  <si>
    <t xml:space="preserve">Ремонт моста через р. Валуй на км 1+200 автодороги «Валуйки - Алексеевка -                   Красное» - Филиппово - Верхний Моисей</t>
  </si>
  <si>
    <t xml:space="preserve">Ремонт моста через р. Ураева на км 100+930 автодороги Новый Оскол - Валуйки - Ровеньки</t>
  </si>
  <si>
    <t xml:space="preserve">Капитальный ремонт путепровода                     через железную дорогу на км 40+700               автодороги Новый Оскол - Валуйки - Ровеньки </t>
  </si>
  <si>
    <t xml:space="preserve">Капитальный ремонт путепровода                               через железную дорогу на км 41+490                                  автодороги Новый Оскол - Валуйки - Ровеньки </t>
  </si>
  <si>
    <t xml:space="preserve">Ремонт моста через р. Лозовая на км 66+500 автодороги Белгород - Грайворон - Козинка</t>
  </si>
  <si>
    <t xml:space="preserve">Ремонт моста через суходол                              на км 10+600 автодороги Скородное - Кочки </t>
  </si>
  <si>
    <t xml:space="preserve">Ремонт моста через р. Корень на км 8+900       автодороги Самойловка - Кощеево - Хмелевое</t>
  </si>
  <si>
    <t xml:space="preserve">Ремонт моста через р. Короча на км 0+000       автодороги Подъезд к селу Бехтеевка </t>
  </si>
  <si>
    <t xml:space="preserve">Капитальный ремонт путепровода через железную дорогу на ул. Кооперативная            в городе Новый Оскол </t>
  </si>
  <si>
    <t xml:space="preserve">Прохоровский район</t>
  </si>
  <si>
    <t xml:space="preserve">Ремонт моста через р.Северский Донец            на км 35+010 а/д Короча - Новая Слободка -Хмелевое - Призначное</t>
  </si>
  <si>
    <t xml:space="preserve">Ремонт путепровода по проспекту Алексея Угарова на пересечении магистралей I-I,          II-II (ул. Ерошенко) в городе Старый Оскол </t>
  </si>
  <si>
    <t xml:space="preserve">Ремонт путепровода над автодорогой                  в составе транспортной развязки на км 7+600  автодороги Магистраль 1-1                                             </t>
  </si>
  <si>
    <t xml:space="preserve">Ремонт путепровода над автодорогой                  в составе транспортной развязки на км 7+800  автодороги Магистраль 1-1                                             </t>
  </si>
  <si>
    <t xml:space="preserve">Ремонт путепровода над трамвайными путями в составе транспортной развязки на км 4+700 Магистрали 1-1                                                </t>
  </si>
  <si>
    <t xml:space="preserve">Ремонт путепровода над автомобильной дорогой  и трамвайными путями                        на км 15+700 автодороги  Магистраль 1-1                    </t>
  </si>
  <si>
    <t xml:space="preserve">Капитальный ремонт путепровода                     над Магистралью 1-1 в составе транспортной развязки на км 10+800 </t>
  </si>
  <si>
    <t xml:space="preserve">Ремонт моста через р. Котел на км 14+990 автомобильной дороги Магистраль 1-1</t>
  </si>
  <si>
    <t xml:space="preserve"> Чернянский район</t>
  </si>
  <si>
    <t xml:space="preserve">Ремонт моста через реку Оскол на участке       км  46+526 автодороги  Короча - Чернянка - Красное </t>
  </si>
  <si>
    <t xml:space="preserve">Ремонт моста через реку Нежеголь                    на ул. Пески в с. Нежеголь</t>
  </si>
</sst>
</file>

<file path=xl/styles.xml><?xml version="1.0" encoding="utf-8"?>
<styleSheet xmlns="http://schemas.openxmlformats.org/spreadsheetml/2006/main">
  <numFmts count="15">
    <numFmt numFmtId="164" formatCode="General"/>
    <numFmt numFmtId="165" formatCode="#,##0.0"/>
    <numFmt numFmtId="166" formatCode="@"/>
    <numFmt numFmtId="167" formatCode="#,##0.000"/>
    <numFmt numFmtId="168" formatCode="#,##0.000_р_."/>
    <numFmt numFmtId="169" formatCode="0.00000"/>
    <numFmt numFmtId="170" formatCode="#,##0"/>
    <numFmt numFmtId="171" formatCode="0.000"/>
    <numFmt numFmtId="172" formatCode="0.0"/>
    <numFmt numFmtId="173" formatCode="#,##0.0_р_."/>
    <numFmt numFmtId="174" formatCode="0.00"/>
    <numFmt numFmtId="175" formatCode="#,##0.00"/>
    <numFmt numFmtId="176" formatCode="_-* #,##0.00_р_._-;\-* #,##0.00_р_._-;_-* \-??_р_._-;_-@_-"/>
    <numFmt numFmtId="177" formatCode="_-* #,##0.0_р_._-;\-* #,##0.0_р_._-;_-* \-??_р_._-;_-@_-"/>
    <numFmt numFmtId="178" formatCode="#,##0.0;[RED]#,##0.0"/>
  </numFmts>
  <fonts count="24">
    <font>
      <sz val="10"/>
      <name val="Arial Cyr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0"/>
      <charset val="1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8"/>
      <name val="Times New Roman"/>
      <family val="1"/>
      <charset val="204"/>
    </font>
    <font>
      <b val="true"/>
      <sz val="16"/>
      <name val="Times New Roman"/>
      <family val="1"/>
      <charset val="204"/>
    </font>
    <font>
      <sz val="18"/>
      <name val="Times New Roman"/>
      <family val="1"/>
      <charset val="204"/>
    </font>
    <font>
      <b val="true"/>
      <sz val="20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8"/>
      <color theme="1"/>
      <name val="Times New Roman"/>
      <family val="1"/>
      <charset val="204"/>
    </font>
    <font>
      <b val="true"/>
      <sz val="18"/>
      <color rgb="FF000000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6"/>
      <color rgb="FFFFFFFF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 val="true"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</borders>
  <cellStyleXfs count="3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31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3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31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3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3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9" fillId="0" borderId="0" xfId="3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31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31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3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3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31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3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4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3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4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5" xfId="3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3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3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6" xfId="3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7" xfId="3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8" xfId="3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6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6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9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8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6" xfId="3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0" xfId="3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1" xfId="3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3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1" xfId="3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2" xfId="3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3" xfId="3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1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5" fillId="0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5" fillId="0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1" fillId="0" borderId="17" xfId="3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0" borderId="1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7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7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1" fillId="0" borderId="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8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17" xfId="3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8" fillId="0" borderId="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8" fillId="0" borderId="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0" borderId="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7" xfId="3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8" fillId="0" borderId="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19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7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17" xfId="3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7" xfId="3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19" xfId="3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7" fillId="0" borderId="0" xfId="3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31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1" fillId="0" borderId="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18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0" borderId="0" xfId="31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0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0" borderId="7" xfId="3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xfId="3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7" xfId="3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8" fillId="0" borderId="8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7" xfId="3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0" borderId="18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8" fillId="0" borderId="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8" fillId="0" borderId="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8" fillId="0" borderId="7" xfId="3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7" xfId="3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8" fillId="0" borderId="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1" fillId="0" borderId="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8" fillId="0" borderId="7" xfId="3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8" fillId="0" borderId="7" xfId="3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7" xfId="3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3" fontId="18" fillId="0" borderId="7" xfId="3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0" borderId="7" xfId="3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1" fillId="0" borderId="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18" fillId="0" borderId="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8" fillId="0" borderId="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8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7" xfId="3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1" fillId="0" borderId="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1" fillId="0" borderId="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3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7" xfId="3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7" fontId="11" fillId="0" borderId="7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8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1" fillId="0" borderId="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8" fillId="0" borderId="18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8" fillId="0" borderId="8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7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18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7" xfId="3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31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7" xfId="3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31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2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2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0" xfId="31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20" xfId="3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17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18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8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0" borderId="18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21" xfId="2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0" fillId="0" borderId="18" xfId="3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7" xfId="3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7" xfId="3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8" fillId="0" borderId="21" xfId="2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0" borderId="20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31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1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1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0" xfId="3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8" fillId="0" borderId="11" xfId="3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11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18" fillId="0" borderId="11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0" borderId="11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0" borderId="12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22" xfId="3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23" xfId="3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1" fillId="0" borderId="23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23" xfId="3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8" fontId="11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3" xfId="3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24" xfId="3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15" xfId="3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0" xfId="31" applyFont="true" applyBorder="false" applyAlignment="true" applyProtection="true">
      <alignment horizontal="center" vertical="center" textRotation="0" wrapText="true" indent="0" shrinkToFit="false"/>
      <protection locked="true" hidden="false"/>
    </xf>
  </cellXfs>
  <cellStyles count="1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3" xfId="20"/>
    <cellStyle name="Обычный 13 2" xfId="21"/>
    <cellStyle name="Обычный 14" xfId="22"/>
    <cellStyle name="Обычный 14 2" xfId="23"/>
    <cellStyle name="Обычный 21_СВОД по районам" xfId="24"/>
    <cellStyle name="Обычный 3" xfId="25"/>
    <cellStyle name="Обычный 4" xfId="26"/>
    <cellStyle name="Обычный 5" xfId="27"/>
    <cellStyle name="Обычный_3-РЕМОНТ_МОСТОВ на 2011год" xfId="28"/>
    <cellStyle name="Обычный_ВЫПОЛНЕНИЕ программы ИЖС-2010 год" xfId="29"/>
    <cellStyle name="Обычный_мероприятия (приложение 2 к 139-пп)" xfId="30"/>
    <cellStyle name="Стиль 1" xfId="3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true"/>
  </sheetPr>
  <dimension ref="A1:BA429"/>
  <sheetViews>
    <sheetView showFormulas="false" showGridLines="true" showRowColHeaders="true" showZeros="true" rightToLeft="false" tabSelected="true" showOutlineSymbols="true" defaultGridColor="true" view="pageBreakPreview" topLeftCell="A1" colorId="64" zoomScale="72" zoomScaleNormal="75" zoomScalePageLayoutView="72" workbookViewId="0">
      <pane xSplit="3" ySplit="9" topLeftCell="D164" activePane="bottomRight" state="frozen"/>
      <selection pane="topLeft" activeCell="A1" activeCellId="0" sqref="A1"/>
      <selection pane="topRight" activeCell="D1" activeCellId="0" sqref="D1"/>
      <selection pane="bottomLeft" activeCell="A164" activeCellId="0" sqref="A164"/>
      <selection pane="bottomRight" activeCell="V7" activeCellId="0" sqref="V7"/>
    </sheetView>
  </sheetViews>
  <sheetFormatPr defaultColWidth="9.1484375" defaultRowHeight="16.5" zeroHeight="false" outlineLevelRow="0" outlineLevelCol="0"/>
  <cols>
    <col collapsed="false" customWidth="true" hidden="false" outlineLevel="0" max="1" min="1" style="1" width="7.16"/>
    <col collapsed="false" customWidth="true" hidden="false" outlineLevel="0" max="2" min="2" style="2" width="58.85"/>
    <col collapsed="false" customWidth="true" hidden="false" outlineLevel="0" max="3" min="3" style="2" width="13.71"/>
    <col collapsed="false" customWidth="true" hidden="true" outlineLevel="0" max="4" min="4" style="2" width="18.57"/>
    <col collapsed="false" customWidth="true" hidden="false" outlineLevel="0" max="5" min="5" style="2" width="14.14"/>
    <col collapsed="false" customWidth="true" hidden="false" outlineLevel="0" max="6" min="6" style="2" width="19.71"/>
    <col collapsed="false" customWidth="true" hidden="false" outlineLevel="0" max="7" min="7" style="2" width="22"/>
    <col collapsed="false" customWidth="true" hidden="true" outlineLevel="0" max="8" min="8" style="2" width="9.71"/>
    <col collapsed="false" customWidth="true" hidden="true" outlineLevel="0" max="9" min="9" style="2" width="16.14"/>
    <col collapsed="false" customWidth="true" hidden="true" outlineLevel="0" max="10" min="10" style="2" width="16.43"/>
    <col collapsed="false" customWidth="true" hidden="true" outlineLevel="0" max="11" min="11" style="2" width="14.14"/>
    <col collapsed="false" customWidth="true" hidden="true" outlineLevel="0" max="12" min="12" style="2" width="10.85"/>
    <col collapsed="false" customWidth="true" hidden="true" outlineLevel="0" max="13" min="13" style="2" width="16.71"/>
    <col collapsed="false" customWidth="true" hidden="true" outlineLevel="0" max="14" min="14" style="2" width="19"/>
    <col collapsed="false" customWidth="true" hidden="true" outlineLevel="0" max="15" min="15" style="2" width="16.57"/>
    <col collapsed="false" customWidth="true" hidden="true" outlineLevel="0" max="16" min="16" style="2" width="11.57"/>
    <col collapsed="false" customWidth="true" hidden="true" outlineLevel="0" max="17" min="17" style="2" width="17.71"/>
    <col collapsed="false" customWidth="true" hidden="true" outlineLevel="0" max="18" min="18" style="2" width="19.29"/>
    <col collapsed="false" customWidth="true" hidden="true" outlineLevel="0" max="19" min="19" style="2" width="18.29"/>
    <col collapsed="false" customWidth="true" hidden="false" outlineLevel="0" max="20" min="20" style="2" width="12"/>
    <col collapsed="false" customWidth="true" hidden="false" outlineLevel="0" max="21" min="21" style="2" width="13.71"/>
    <col collapsed="false" customWidth="true" hidden="false" outlineLevel="0" max="22" min="22" style="2" width="19"/>
    <col collapsed="false" customWidth="true" hidden="false" outlineLevel="0" max="23" min="23" style="2" width="21.63"/>
    <col collapsed="false" customWidth="true" hidden="false" outlineLevel="0" max="24" min="24" style="2" width="17.29"/>
    <col collapsed="false" customWidth="true" hidden="false" outlineLevel="0" max="25" min="25" style="2" width="18.93"/>
    <col collapsed="false" customWidth="true" hidden="false" outlineLevel="0" max="26" min="26" style="2" width="18.86"/>
    <col collapsed="false" customWidth="true" hidden="false" outlineLevel="0" max="27" min="27" style="2" width="13.57"/>
    <col collapsed="false" customWidth="true" hidden="false" outlineLevel="0" max="28" min="28" style="2" width="19.29"/>
    <col collapsed="false" customWidth="true" hidden="false" outlineLevel="0" max="29" min="29" style="2" width="20.71"/>
    <col collapsed="false" customWidth="true" hidden="false" outlineLevel="0" max="30" min="30" style="2" width="16.84"/>
    <col collapsed="false" customWidth="true" hidden="false" outlineLevel="0" max="31" min="31" style="2" width="19.33"/>
    <col collapsed="false" customWidth="true" hidden="false" outlineLevel="0" max="32" min="32" style="2" width="10.85"/>
    <col collapsed="false" customWidth="true" hidden="false" outlineLevel="0" max="33" min="33" style="2" width="12.42"/>
    <col collapsed="false" customWidth="true" hidden="false" outlineLevel="0" max="34" min="34" style="2" width="18.42"/>
    <col collapsed="false" customWidth="true" hidden="false" outlineLevel="0" max="35" min="35" style="2" width="22.21"/>
    <col collapsed="false" customWidth="true" hidden="false" outlineLevel="0" max="36" min="36" style="2" width="17.86"/>
    <col collapsed="false" customWidth="true" hidden="false" outlineLevel="0" max="37" min="37" style="2" width="52.71"/>
    <col collapsed="false" customWidth="true" hidden="false" outlineLevel="0" max="38" min="38" style="2" width="19.29"/>
    <col collapsed="false" customWidth="true" hidden="false" outlineLevel="0" max="39" min="39" style="2" width="19.71"/>
    <col collapsed="false" customWidth="false" hidden="false" outlineLevel="0" max="51" min="40" style="2" width="9.14"/>
    <col collapsed="false" customWidth="true" hidden="false" outlineLevel="0" max="52" min="52" style="2" width="10.29"/>
    <col collapsed="false" customWidth="true" hidden="false" outlineLevel="0" max="53" min="53" style="2" width="19.57"/>
    <col collapsed="false" customWidth="false" hidden="false" outlineLevel="0" max="16384" min="54" style="2" width="9.14"/>
  </cols>
  <sheetData>
    <row r="1" s="4" customFormat="true" ht="69" hidden="false" customHeight="true" outlineLevel="0" collapsed="false">
      <c r="A1" s="3"/>
      <c r="G1" s="5"/>
      <c r="H1" s="6"/>
      <c r="I1" s="6"/>
      <c r="J1" s="6"/>
      <c r="K1" s="6"/>
      <c r="M1" s="7"/>
      <c r="N1" s="7"/>
      <c r="O1" s="7"/>
      <c r="P1" s="7"/>
      <c r="R1" s="7"/>
      <c r="S1" s="7"/>
      <c r="T1" s="8"/>
      <c r="U1" s="9"/>
      <c r="V1" s="9"/>
      <c r="W1" s="9"/>
      <c r="X1" s="9"/>
      <c r="Y1" s="9"/>
      <c r="Z1" s="10" t="s">
        <v>0</v>
      </c>
      <c r="AA1" s="10"/>
      <c r="AB1" s="10"/>
      <c r="AC1" s="10"/>
      <c r="AD1" s="10"/>
      <c r="AE1" s="10"/>
      <c r="AF1" s="10"/>
      <c r="AG1" s="10"/>
      <c r="AH1" s="10"/>
      <c r="AI1" s="11"/>
      <c r="AJ1" s="11"/>
      <c r="AK1" s="12"/>
      <c r="AL1" s="12"/>
      <c r="AM1" s="12"/>
      <c r="AN1" s="12"/>
      <c r="AO1" s="12"/>
    </row>
    <row r="2" s="4" customFormat="true" ht="19.5" hidden="false" customHeight="true" outlineLevel="0" collapsed="false">
      <c r="A2" s="3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13"/>
      <c r="AL2" s="13"/>
    </row>
    <row r="3" s="4" customFormat="true" ht="36.75" hidden="false" customHeight="true" outlineLevel="0" collapsed="false">
      <c r="A3" s="14" t="s">
        <v>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5"/>
      <c r="AJ3" s="15"/>
      <c r="AK3" s="13"/>
      <c r="AL3" s="13"/>
    </row>
    <row r="4" s="4" customFormat="true" ht="28.5" hidden="false" customHeight="true" outlineLevel="0" collapsed="false">
      <c r="A4" s="3"/>
      <c r="AF4" s="16"/>
      <c r="AG4" s="16"/>
      <c r="AH4" s="16"/>
      <c r="AI4" s="16"/>
      <c r="AJ4" s="16"/>
      <c r="AK4" s="13"/>
      <c r="AL4" s="13"/>
    </row>
    <row r="5" s="4" customFormat="true" ht="34.5" hidden="false" customHeight="true" outlineLevel="0" collapsed="false">
      <c r="A5" s="17" t="s">
        <v>2</v>
      </c>
      <c r="B5" s="18" t="s">
        <v>3</v>
      </c>
      <c r="C5" s="18" t="s">
        <v>4</v>
      </c>
      <c r="D5" s="19" t="s">
        <v>5</v>
      </c>
      <c r="E5" s="20" t="s">
        <v>6</v>
      </c>
      <c r="F5" s="20"/>
      <c r="G5" s="20"/>
      <c r="H5" s="21" t="s">
        <v>7</v>
      </c>
      <c r="I5" s="21"/>
      <c r="J5" s="21"/>
      <c r="K5" s="21"/>
      <c r="L5" s="21" t="s">
        <v>8</v>
      </c>
      <c r="M5" s="21"/>
      <c r="N5" s="21"/>
      <c r="O5" s="21"/>
      <c r="P5" s="21" t="s">
        <v>9</v>
      </c>
      <c r="Q5" s="21"/>
      <c r="R5" s="21"/>
      <c r="S5" s="21"/>
      <c r="T5" s="22" t="s">
        <v>10</v>
      </c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3"/>
      <c r="AL5" s="23"/>
      <c r="AM5" s="24"/>
      <c r="AN5" s="24"/>
      <c r="AO5" s="24"/>
      <c r="AP5" s="24"/>
      <c r="AQ5" s="24"/>
      <c r="AR5" s="24"/>
      <c r="AS5" s="24"/>
      <c r="AT5" s="24"/>
      <c r="AU5" s="24"/>
    </row>
    <row r="6" s="4" customFormat="true" ht="29.25" hidden="false" customHeight="true" outlineLevel="0" collapsed="false">
      <c r="A6" s="17"/>
      <c r="B6" s="18"/>
      <c r="C6" s="18"/>
      <c r="D6" s="18"/>
      <c r="E6" s="20"/>
      <c r="F6" s="20"/>
      <c r="G6" s="20"/>
      <c r="H6" s="25" t="s">
        <v>11</v>
      </c>
      <c r="I6" s="26" t="s">
        <v>12</v>
      </c>
      <c r="J6" s="26"/>
      <c r="K6" s="26"/>
      <c r="L6" s="25" t="s">
        <v>11</v>
      </c>
      <c r="M6" s="26" t="s">
        <v>12</v>
      </c>
      <c r="N6" s="26"/>
      <c r="O6" s="26"/>
      <c r="P6" s="25" t="s">
        <v>11</v>
      </c>
      <c r="Q6" s="26" t="s">
        <v>12</v>
      </c>
      <c r="R6" s="26"/>
      <c r="S6" s="26"/>
      <c r="T6" s="27" t="s">
        <v>13</v>
      </c>
      <c r="U6" s="27"/>
      <c r="V6" s="27"/>
      <c r="W6" s="27"/>
      <c r="X6" s="27"/>
      <c r="Y6" s="27"/>
      <c r="Z6" s="27" t="s">
        <v>14</v>
      </c>
      <c r="AA6" s="27"/>
      <c r="AB6" s="27"/>
      <c r="AC6" s="27"/>
      <c r="AD6" s="27"/>
      <c r="AE6" s="27"/>
      <c r="AF6" s="28" t="s">
        <v>15</v>
      </c>
      <c r="AG6" s="28"/>
      <c r="AH6" s="28"/>
      <c r="AI6" s="28"/>
      <c r="AJ6" s="28"/>
      <c r="AK6" s="23"/>
      <c r="AL6" s="23"/>
      <c r="AM6" s="24"/>
      <c r="AN6" s="24"/>
      <c r="AO6" s="24"/>
      <c r="AP6" s="24"/>
      <c r="AQ6" s="24"/>
      <c r="AR6" s="24"/>
      <c r="AS6" s="24"/>
      <c r="AT6" s="24"/>
      <c r="AU6" s="24"/>
    </row>
    <row r="7" s="4" customFormat="true" ht="33.75" hidden="false" customHeight="true" outlineLevel="0" collapsed="false">
      <c r="A7" s="17"/>
      <c r="B7" s="18"/>
      <c r="C7" s="18"/>
      <c r="D7" s="18"/>
      <c r="E7" s="27" t="s">
        <v>16</v>
      </c>
      <c r="F7" s="27"/>
      <c r="G7" s="29" t="s">
        <v>17</v>
      </c>
      <c r="H7" s="25"/>
      <c r="I7" s="30" t="s">
        <v>18</v>
      </c>
      <c r="J7" s="26" t="s">
        <v>19</v>
      </c>
      <c r="K7" s="26"/>
      <c r="L7" s="25"/>
      <c r="M7" s="30" t="s">
        <v>18</v>
      </c>
      <c r="N7" s="26" t="s">
        <v>19</v>
      </c>
      <c r="O7" s="26"/>
      <c r="P7" s="25"/>
      <c r="Q7" s="30" t="s">
        <v>18</v>
      </c>
      <c r="R7" s="26" t="s">
        <v>19</v>
      </c>
      <c r="S7" s="26"/>
      <c r="T7" s="27" t="s">
        <v>16</v>
      </c>
      <c r="U7" s="27"/>
      <c r="V7" s="29" t="s">
        <v>12</v>
      </c>
      <c r="W7" s="31" t="s">
        <v>19</v>
      </c>
      <c r="X7" s="31"/>
      <c r="Y7" s="31"/>
      <c r="Z7" s="27" t="s">
        <v>16</v>
      </c>
      <c r="AA7" s="27"/>
      <c r="AB7" s="29" t="s">
        <v>12</v>
      </c>
      <c r="AC7" s="31" t="s">
        <v>19</v>
      </c>
      <c r="AD7" s="31"/>
      <c r="AE7" s="31"/>
      <c r="AF7" s="27" t="s">
        <v>16</v>
      </c>
      <c r="AG7" s="27"/>
      <c r="AH7" s="32" t="s">
        <v>12</v>
      </c>
      <c r="AI7" s="33" t="s">
        <v>19</v>
      </c>
      <c r="AJ7" s="33"/>
      <c r="AK7" s="23"/>
      <c r="AL7" s="23"/>
      <c r="AM7" s="24"/>
      <c r="AN7" s="24"/>
      <c r="AO7" s="24"/>
      <c r="AP7" s="24"/>
      <c r="AQ7" s="24"/>
      <c r="AR7" s="24"/>
      <c r="AS7" s="24"/>
      <c r="AT7" s="24"/>
      <c r="AU7" s="24"/>
    </row>
    <row r="8" s="4" customFormat="true" ht="59.25" hidden="false" customHeight="true" outlineLevel="0" collapsed="false">
      <c r="A8" s="17"/>
      <c r="B8" s="18"/>
      <c r="C8" s="18"/>
      <c r="D8" s="19"/>
      <c r="E8" s="34" t="s">
        <v>11</v>
      </c>
      <c r="F8" s="34" t="s">
        <v>20</v>
      </c>
      <c r="G8" s="29"/>
      <c r="H8" s="25"/>
      <c r="I8" s="30"/>
      <c r="J8" s="30" t="s">
        <v>21</v>
      </c>
      <c r="K8" s="30" t="s">
        <v>22</v>
      </c>
      <c r="L8" s="25"/>
      <c r="M8" s="30"/>
      <c r="N8" s="30" t="s">
        <v>21</v>
      </c>
      <c r="O8" s="30" t="s">
        <v>22</v>
      </c>
      <c r="P8" s="25"/>
      <c r="Q8" s="30"/>
      <c r="R8" s="30" t="s">
        <v>21</v>
      </c>
      <c r="S8" s="30" t="s">
        <v>23</v>
      </c>
      <c r="T8" s="34" t="s">
        <v>11</v>
      </c>
      <c r="U8" s="34" t="s">
        <v>20</v>
      </c>
      <c r="V8" s="29"/>
      <c r="W8" s="31" t="s">
        <v>23</v>
      </c>
      <c r="X8" s="31" t="s">
        <v>21</v>
      </c>
      <c r="Y8" s="29" t="s">
        <v>24</v>
      </c>
      <c r="Z8" s="34" t="s">
        <v>11</v>
      </c>
      <c r="AA8" s="34" t="s">
        <v>20</v>
      </c>
      <c r="AB8" s="29"/>
      <c r="AC8" s="31" t="s">
        <v>23</v>
      </c>
      <c r="AD8" s="31" t="s">
        <v>21</v>
      </c>
      <c r="AE8" s="29" t="s">
        <v>24</v>
      </c>
      <c r="AF8" s="34" t="s">
        <v>11</v>
      </c>
      <c r="AG8" s="34" t="s">
        <v>20</v>
      </c>
      <c r="AH8" s="32"/>
      <c r="AI8" s="31" t="s">
        <v>23</v>
      </c>
      <c r="AJ8" s="33" t="s">
        <v>21</v>
      </c>
      <c r="AK8" s="35"/>
      <c r="AL8" s="23"/>
      <c r="AM8" s="24"/>
      <c r="AN8" s="24"/>
      <c r="AO8" s="24"/>
      <c r="AP8" s="24"/>
      <c r="AQ8" s="24"/>
      <c r="AR8" s="24"/>
      <c r="AS8" s="24"/>
      <c r="AT8" s="24"/>
      <c r="AU8" s="24"/>
    </row>
    <row r="9" s="4" customFormat="true" ht="36.75" hidden="false" customHeight="true" outlineLevel="0" collapsed="false">
      <c r="A9" s="36" t="n">
        <v>1</v>
      </c>
      <c r="B9" s="37" t="n">
        <v>2</v>
      </c>
      <c r="C9" s="37" t="n">
        <v>3</v>
      </c>
      <c r="D9" s="38"/>
      <c r="E9" s="37" t="n">
        <v>4</v>
      </c>
      <c r="F9" s="37" t="n">
        <v>5</v>
      </c>
      <c r="G9" s="37" t="n">
        <v>6</v>
      </c>
      <c r="H9" s="37" t="n">
        <v>7</v>
      </c>
      <c r="I9" s="37"/>
      <c r="J9" s="37"/>
      <c r="K9" s="37"/>
      <c r="L9" s="37"/>
      <c r="M9" s="37"/>
      <c r="N9" s="37"/>
      <c r="O9" s="37"/>
      <c r="P9" s="37"/>
      <c r="Q9" s="37" t="n">
        <v>6</v>
      </c>
      <c r="R9" s="37" t="n">
        <v>7</v>
      </c>
      <c r="S9" s="37" t="n">
        <v>8</v>
      </c>
      <c r="T9" s="39" t="n">
        <v>7</v>
      </c>
      <c r="U9" s="39" t="n">
        <v>8</v>
      </c>
      <c r="V9" s="39" t="n">
        <v>9</v>
      </c>
      <c r="W9" s="39" t="n">
        <v>10</v>
      </c>
      <c r="X9" s="39" t="n">
        <v>11</v>
      </c>
      <c r="Y9" s="39" t="n">
        <v>12</v>
      </c>
      <c r="Z9" s="39" t="n">
        <v>13</v>
      </c>
      <c r="AA9" s="39" t="n">
        <v>14</v>
      </c>
      <c r="AB9" s="39" t="n">
        <v>15</v>
      </c>
      <c r="AC9" s="39" t="n">
        <v>16</v>
      </c>
      <c r="AD9" s="39" t="n">
        <v>17</v>
      </c>
      <c r="AE9" s="39" t="n">
        <v>18</v>
      </c>
      <c r="AF9" s="39" t="n">
        <v>19</v>
      </c>
      <c r="AG9" s="39" t="n">
        <v>20</v>
      </c>
      <c r="AH9" s="40" t="n">
        <v>21</v>
      </c>
      <c r="AI9" s="39" t="n">
        <v>22</v>
      </c>
      <c r="AJ9" s="41" t="n">
        <v>23</v>
      </c>
      <c r="AK9" s="35"/>
      <c r="AL9" s="23"/>
      <c r="AM9" s="24"/>
      <c r="AN9" s="24"/>
      <c r="AO9" s="24"/>
      <c r="AP9" s="24"/>
      <c r="AQ9" s="24"/>
      <c r="AR9" s="24"/>
      <c r="AS9" s="24"/>
      <c r="AT9" s="24"/>
      <c r="AU9" s="24"/>
    </row>
    <row r="10" s="4" customFormat="true" ht="49.5" hidden="false" customHeight="true" outlineLevel="0" collapsed="false">
      <c r="A10" s="42" t="s">
        <v>25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3"/>
      <c r="AJ10" s="44"/>
      <c r="AK10" s="35"/>
      <c r="AL10" s="23"/>
      <c r="AM10" s="24"/>
      <c r="AN10" s="24"/>
      <c r="AO10" s="24"/>
      <c r="AP10" s="24"/>
      <c r="AQ10" s="24"/>
      <c r="AR10" s="24"/>
      <c r="AS10" s="24"/>
      <c r="AT10" s="24"/>
      <c r="AU10" s="24"/>
    </row>
    <row r="11" s="4" customFormat="true" ht="36.75" hidden="false" customHeight="true" outlineLevel="0" collapsed="false">
      <c r="A11" s="45" t="s">
        <v>26</v>
      </c>
      <c r="B11" s="46" t="s">
        <v>27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7"/>
      <c r="AJ11" s="48"/>
      <c r="AK11" s="35"/>
      <c r="AL11" s="23"/>
      <c r="AM11" s="24"/>
      <c r="AN11" s="24"/>
      <c r="AO11" s="24"/>
      <c r="AP11" s="24"/>
      <c r="AQ11" s="24"/>
      <c r="AR11" s="24"/>
      <c r="AS11" s="24"/>
      <c r="AT11" s="24"/>
      <c r="AU11" s="24"/>
    </row>
    <row r="12" s="4" customFormat="true" ht="31.5" hidden="false" customHeight="true" outlineLevel="0" collapsed="false">
      <c r="A12" s="45" t="n">
        <v>1</v>
      </c>
      <c r="B12" s="49" t="s">
        <v>28</v>
      </c>
      <c r="C12" s="47"/>
      <c r="D12" s="47"/>
      <c r="E12" s="50" t="n">
        <f aca="false">E14+E16+E18</f>
        <v>7.6</v>
      </c>
      <c r="F12" s="50"/>
      <c r="G12" s="50" t="n">
        <f aca="false">G14+G16+G18</f>
        <v>541284.1924</v>
      </c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50" t="n">
        <f aca="false">T14</f>
        <v>2.5</v>
      </c>
      <c r="U12" s="50"/>
      <c r="V12" s="50" t="n">
        <f aca="false">V14</f>
        <v>174477.0924</v>
      </c>
      <c r="W12" s="47"/>
      <c r="X12" s="50" t="n">
        <f aca="false">X14</f>
        <v>174477.0924</v>
      </c>
      <c r="Y12" s="47"/>
      <c r="Z12" s="50" t="n">
        <f aca="false">Z16</f>
        <v>2.8</v>
      </c>
      <c r="AA12" s="50"/>
      <c r="AB12" s="50" t="n">
        <f aca="false">AB16</f>
        <v>196807.1</v>
      </c>
      <c r="AC12" s="47"/>
      <c r="AD12" s="50" t="n">
        <f aca="false">AD16</f>
        <v>196807.1</v>
      </c>
      <c r="AE12" s="47"/>
      <c r="AF12" s="50" t="n">
        <f aca="false">AF18</f>
        <v>2.3</v>
      </c>
      <c r="AG12" s="50"/>
      <c r="AH12" s="50" t="n">
        <f aca="false">AH18</f>
        <v>170000</v>
      </c>
      <c r="AI12" s="50"/>
      <c r="AJ12" s="51" t="n">
        <f aca="false">AJ18</f>
        <v>170000</v>
      </c>
      <c r="AK12" s="35"/>
      <c r="AL12" s="23"/>
      <c r="AM12" s="24"/>
      <c r="AN12" s="24"/>
      <c r="AO12" s="24"/>
      <c r="AP12" s="24"/>
      <c r="AQ12" s="24"/>
      <c r="AR12" s="24"/>
      <c r="AS12" s="24"/>
      <c r="AT12" s="24"/>
      <c r="AU12" s="24"/>
    </row>
    <row r="13" s="4" customFormat="true" ht="26.25" hidden="false" customHeight="true" outlineLevel="0" collapsed="false">
      <c r="A13" s="52" t="s">
        <v>29</v>
      </c>
      <c r="B13" s="52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53"/>
      <c r="AI13" s="47"/>
      <c r="AJ13" s="48"/>
      <c r="AK13" s="35"/>
      <c r="AL13" s="23"/>
      <c r="AM13" s="24"/>
      <c r="AN13" s="24"/>
      <c r="AO13" s="24"/>
      <c r="AP13" s="24"/>
      <c r="AQ13" s="24"/>
      <c r="AR13" s="24"/>
      <c r="AS13" s="24"/>
      <c r="AT13" s="24"/>
      <c r="AU13" s="24"/>
    </row>
    <row r="14" s="4" customFormat="true" ht="30.75" hidden="false" customHeight="true" outlineLevel="0" collapsed="false">
      <c r="A14" s="54" t="n">
        <v>1</v>
      </c>
      <c r="B14" s="55" t="s">
        <v>30</v>
      </c>
      <c r="C14" s="55" t="s">
        <v>31</v>
      </c>
      <c r="D14" s="47"/>
      <c r="E14" s="56" t="n">
        <v>2.5</v>
      </c>
      <c r="F14" s="56"/>
      <c r="G14" s="57" t="n">
        <v>174477.0924</v>
      </c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56" t="n">
        <f aca="false">E14</f>
        <v>2.5</v>
      </c>
      <c r="U14" s="56"/>
      <c r="V14" s="57" t="n">
        <f aca="false">G14</f>
        <v>174477.0924</v>
      </c>
      <c r="W14" s="47"/>
      <c r="X14" s="57" t="n">
        <f aca="false">V14</f>
        <v>174477.0924</v>
      </c>
      <c r="Y14" s="47"/>
      <c r="Z14" s="47"/>
      <c r="AA14" s="47"/>
      <c r="AB14" s="47"/>
      <c r="AC14" s="47"/>
      <c r="AD14" s="47"/>
      <c r="AE14" s="47"/>
      <c r="AF14" s="47"/>
      <c r="AG14" s="47"/>
      <c r="AH14" s="53"/>
      <c r="AI14" s="47"/>
      <c r="AJ14" s="48"/>
      <c r="AK14" s="35"/>
      <c r="AL14" s="23"/>
      <c r="AM14" s="24"/>
      <c r="AN14" s="24"/>
      <c r="AO14" s="24"/>
      <c r="AP14" s="24"/>
      <c r="AQ14" s="24"/>
      <c r="AR14" s="24"/>
      <c r="AS14" s="24"/>
      <c r="AT14" s="24"/>
      <c r="AU14" s="24"/>
    </row>
    <row r="15" s="4" customFormat="true" ht="31.5" hidden="false" customHeight="true" outlineLevel="0" collapsed="false">
      <c r="A15" s="52" t="s">
        <v>32</v>
      </c>
      <c r="B15" s="52"/>
      <c r="C15" s="58"/>
      <c r="D15" s="47"/>
      <c r="E15" s="50"/>
      <c r="F15" s="50"/>
      <c r="G15" s="50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50"/>
      <c r="U15" s="50"/>
      <c r="V15" s="50"/>
      <c r="W15" s="47"/>
      <c r="X15" s="50"/>
      <c r="Y15" s="47"/>
      <c r="Z15" s="47"/>
      <c r="AA15" s="47"/>
      <c r="AB15" s="47"/>
      <c r="AC15" s="47"/>
      <c r="AD15" s="47"/>
      <c r="AE15" s="47"/>
      <c r="AF15" s="47"/>
      <c r="AG15" s="47"/>
      <c r="AH15" s="53"/>
      <c r="AI15" s="47"/>
      <c r="AJ15" s="48"/>
      <c r="AK15" s="35"/>
      <c r="AL15" s="23"/>
      <c r="AM15" s="24"/>
      <c r="AN15" s="24"/>
      <c r="AO15" s="24"/>
      <c r="AP15" s="24"/>
      <c r="AQ15" s="24"/>
      <c r="AR15" s="24"/>
      <c r="AS15" s="24"/>
      <c r="AT15" s="24"/>
      <c r="AU15" s="24"/>
    </row>
    <row r="16" s="4" customFormat="true" ht="41.25" hidden="false" customHeight="true" outlineLevel="0" collapsed="false">
      <c r="A16" s="54" t="n">
        <v>2</v>
      </c>
      <c r="B16" s="59" t="s">
        <v>33</v>
      </c>
      <c r="C16" s="55" t="s">
        <v>34</v>
      </c>
      <c r="D16" s="60"/>
      <c r="E16" s="61" t="n">
        <v>2.8</v>
      </c>
      <c r="F16" s="50"/>
      <c r="G16" s="57" t="n">
        <v>196807.1</v>
      </c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50"/>
      <c r="U16" s="50"/>
      <c r="V16" s="50"/>
      <c r="W16" s="47"/>
      <c r="X16" s="50"/>
      <c r="Y16" s="47"/>
      <c r="Z16" s="61" t="n">
        <f aca="false">E16</f>
        <v>2.8</v>
      </c>
      <c r="AA16" s="50"/>
      <c r="AB16" s="57" t="n">
        <f aca="false">G16</f>
        <v>196807.1</v>
      </c>
      <c r="AC16" s="47"/>
      <c r="AD16" s="57" t="n">
        <f aca="false">AB16</f>
        <v>196807.1</v>
      </c>
      <c r="AE16" s="47"/>
      <c r="AF16" s="47"/>
      <c r="AG16" s="47"/>
      <c r="AH16" s="53"/>
      <c r="AI16" s="47"/>
      <c r="AJ16" s="48"/>
      <c r="AK16" s="62"/>
      <c r="AL16" s="23"/>
      <c r="AM16" s="24"/>
      <c r="AN16" s="24"/>
      <c r="AO16" s="24"/>
      <c r="AP16" s="24"/>
      <c r="AQ16" s="24"/>
      <c r="AR16" s="24"/>
      <c r="AS16" s="24"/>
      <c r="AT16" s="24"/>
      <c r="AU16" s="24"/>
    </row>
    <row r="17" s="4" customFormat="true" ht="27" hidden="false" customHeight="true" outlineLevel="0" collapsed="false">
      <c r="A17" s="52" t="s">
        <v>35</v>
      </c>
      <c r="B17" s="52"/>
      <c r="C17" s="58"/>
      <c r="D17" s="47"/>
      <c r="E17" s="50"/>
      <c r="F17" s="50"/>
      <c r="G17" s="50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50"/>
      <c r="U17" s="50"/>
      <c r="V17" s="50"/>
      <c r="W17" s="47"/>
      <c r="X17" s="50"/>
      <c r="Y17" s="47"/>
      <c r="Z17" s="50"/>
      <c r="AA17" s="50"/>
      <c r="AB17" s="50"/>
      <c r="AC17" s="47"/>
      <c r="AD17" s="50"/>
      <c r="AE17" s="47"/>
      <c r="AF17" s="47"/>
      <c r="AG17" s="47"/>
      <c r="AH17" s="53"/>
      <c r="AI17" s="47"/>
      <c r="AJ17" s="48"/>
      <c r="AK17" s="62"/>
      <c r="AL17" s="23"/>
      <c r="AM17" s="24"/>
      <c r="AN17" s="24"/>
      <c r="AO17" s="24"/>
      <c r="AP17" s="24"/>
      <c r="AQ17" s="24"/>
      <c r="AR17" s="24"/>
      <c r="AS17" s="24"/>
      <c r="AT17" s="24"/>
      <c r="AU17" s="24"/>
    </row>
    <row r="18" s="4" customFormat="true" ht="50.25" hidden="false" customHeight="true" outlineLevel="0" collapsed="false">
      <c r="A18" s="54" t="n">
        <v>3</v>
      </c>
      <c r="B18" s="59" t="s">
        <v>36</v>
      </c>
      <c r="C18" s="55" t="s">
        <v>31</v>
      </c>
      <c r="D18" s="58"/>
      <c r="E18" s="56" t="n">
        <v>2.3</v>
      </c>
      <c r="F18" s="50"/>
      <c r="G18" s="57" t="n">
        <v>170000</v>
      </c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50"/>
      <c r="U18" s="50"/>
      <c r="V18" s="50"/>
      <c r="W18" s="47"/>
      <c r="X18" s="50"/>
      <c r="Y18" s="47"/>
      <c r="Z18" s="50"/>
      <c r="AA18" s="50"/>
      <c r="AB18" s="50"/>
      <c r="AC18" s="47"/>
      <c r="AD18" s="50"/>
      <c r="AE18" s="47"/>
      <c r="AF18" s="61" t="n">
        <f aca="false">E18</f>
        <v>2.3</v>
      </c>
      <c r="AG18" s="50"/>
      <c r="AH18" s="57" t="n">
        <f aca="false">G18</f>
        <v>170000</v>
      </c>
      <c r="AI18" s="47"/>
      <c r="AJ18" s="57" t="n">
        <f aca="false">AH18</f>
        <v>170000</v>
      </c>
      <c r="AK18" s="62"/>
      <c r="AL18" s="23"/>
      <c r="AM18" s="24"/>
      <c r="AN18" s="24"/>
      <c r="AO18" s="24"/>
      <c r="AP18" s="24"/>
      <c r="AQ18" s="24"/>
      <c r="AR18" s="24"/>
      <c r="AS18" s="24"/>
      <c r="AT18" s="24"/>
      <c r="AU18" s="24"/>
    </row>
    <row r="19" s="4" customFormat="true" ht="32.25" hidden="false" customHeight="true" outlineLevel="0" collapsed="false">
      <c r="A19" s="45" t="n">
        <v>2</v>
      </c>
      <c r="B19" s="49" t="s">
        <v>37</v>
      </c>
      <c r="C19" s="47"/>
      <c r="D19" s="47"/>
      <c r="E19" s="63"/>
      <c r="F19" s="47"/>
      <c r="G19" s="63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53"/>
      <c r="AI19" s="47"/>
      <c r="AJ19" s="48"/>
      <c r="AK19" s="62"/>
      <c r="AL19" s="23"/>
      <c r="AM19" s="24"/>
      <c r="AN19" s="24"/>
      <c r="AO19" s="24"/>
      <c r="AP19" s="24"/>
      <c r="AQ19" s="24"/>
      <c r="AR19" s="24"/>
      <c r="AS19" s="24"/>
      <c r="AT19" s="24"/>
      <c r="AU19" s="24"/>
    </row>
    <row r="20" s="69" customFormat="true" ht="29" hidden="false" customHeight="true" outlineLevel="0" collapsed="false">
      <c r="A20" s="64"/>
      <c r="B20" s="65" t="s">
        <v>38</v>
      </c>
      <c r="C20" s="66"/>
      <c r="D20" s="67"/>
      <c r="E20" s="50" t="n">
        <f aca="false">E22+E23</f>
        <v>364.8981</v>
      </c>
      <c r="F20" s="57"/>
      <c r="G20" s="50" t="n">
        <f aca="false">G22+G23</f>
        <v>10130026.76541</v>
      </c>
      <c r="H20" s="50" t="e">
        <f aca="false">#REF!+H37+H44+H52+H56+H66+H70+H75+H80+H87+H93+H97+H115+H127+H137+H142+H145</f>
        <v>#REF!</v>
      </c>
      <c r="I20" s="50" t="e">
        <f aca="false">#REF!+I37+I44+I52+I56+I66+I70+I75+I80+I87+I93+I97+I115+I127+I137+I142+I145</f>
        <v>#REF!</v>
      </c>
      <c r="J20" s="50" t="e">
        <f aca="false">#REF!+J37+J44+J52+J56+J66+J70+J75+J80+J87+J93+J97+J115+J127+J137+J142+J145</f>
        <v>#REF!</v>
      </c>
      <c r="K20" s="50" t="e">
        <f aca="false">#REF!+K37+K44+K52+K56+K66+K70+K75+K80+K87+K93+K97+K115+K127+K137+K142+K145</f>
        <v>#REF!</v>
      </c>
      <c r="L20" s="50" t="e">
        <f aca="false">#REF!+L37+L44+L52+L56+L66+L70+L75+L80+L87+L93+L97+L115+L127+L137+L142+L145</f>
        <v>#REF!</v>
      </c>
      <c r="M20" s="50" t="e">
        <f aca="false">#REF!+M37+M44+M52+M56+M66+M70+M75+M80+M87+M93+M97+M115+M127+M137+M142+M145</f>
        <v>#REF!</v>
      </c>
      <c r="N20" s="50" t="e">
        <f aca="false">#REF!+N37+N44+N52+N56+N66+N70+N75+N80+N87+N93+N97+N115+N127+N137+N142+N145</f>
        <v>#REF!</v>
      </c>
      <c r="O20" s="50" t="e">
        <f aca="false">#REF!+O37+O44+O52+O56+O66+O70+O75+O80+O87+O93+O97+O115+O127+O137+O142+O145</f>
        <v>#REF!</v>
      </c>
      <c r="P20" s="50" t="e">
        <f aca="false">#REF!+P37+P44+P52+P56+P66+P70+P75+P80+P87+P93+P97+P115+P127+P137+P142+P145</f>
        <v>#REF!</v>
      </c>
      <c r="Q20" s="50" t="e">
        <f aca="false">#REF!+Q37+Q44+Q52+Q56+Q66+Q70+Q75+Q80+Q87+Q93+Q97+Q115+Q127+Q137+Q142+Q145</f>
        <v>#REF!</v>
      </c>
      <c r="R20" s="50" t="e">
        <f aca="false">#REF!+R37+R44+R52+R56+R66+R70+R75+R80+R87+R93+R97+R115+R127+R137+R142+R145</f>
        <v>#REF!</v>
      </c>
      <c r="S20" s="50" t="e">
        <f aca="false">#REF!+S37+S44+S52+S56+S66+S70+S75+S80+S87+S93+S97+S115+S127+S137+S142+S145</f>
        <v>#REF!</v>
      </c>
      <c r="T20" s="50" t="n">
        <f aca="false">T37+T44+T52+T56+T66+T70+T75+T80+T87+T93+T97+T100+T110+T115+T120+T127+T132+T137+T142+T145</f>
        <v>110.9811</v>
      </c>
      <c r="U20" s="50"/>
      <c r="V20" s="50" t="n">
        <f aca="false">V37+V44+V52+V56+V66+V70+V75+V80+V87+V93+V97+V106+V115+V127+V137+V142+V145+V146</f>
        <v>2694770.91222</v>
      </c>
      <c r="W20" s="50" t="n">
        <f aca="false">W37+W44+W52+W56+W66+W70+W75+W80+W87+W93+W97+W106+W115+W127+W137+W142+W145+W146</f>
        <v>3.19999999995343</v>
      </c>
      <c r="X20" s="50" t="n">
        <f aca="false">X37+X44+X52+X56+X66+X70+X75+X80+X87+X93+X97+X106+X115+X127+X137+X142+X145+X146</f>
        <v>2694767.71222</v>
      </c>
      <c r="Y20" s="50"/>
      <c r="Z20" s="50" t="n">
        <f aca="false">Z37+Z44+Z52+Z56+Z66+Z75+Z80+Z87+Z93+Z97+Z100+Z106+Z110+Z115+Z120+Z127+Z132+Z137+Z142-0.03</f>
        <v>150.27</v>
      </c>
      <c r="AA20" s="50"/>
      <c r="AB20" s="50" t="n">
        <f aca="false">AB37+AB44+AB52+AB56+AB66+AB70+AB75+AB80+AB87+AB93+AB97+AB100+AB106+AB110+AB115+AB120+AB127+AB132+AB137+AB142+AB146</f>
        <v>3507590.353188</v>
      </c>
      <c r="AC20" s="50" t="n">
        <f aca="false">AC37+AC44+AC52+AC56+AC66+AC70+AC75+AC80+AC87+AC93+AC97+AC100+AC106+AC110+AC115+AC120+AC127+AC132+AC137+AC142+AC146</f>
        <v>2858805.59999672</v>
      </c>
      <c r="AD20" s="50" t="n">
        <f aca="false">AD37+AD44+AD52+AD56+AD66+AD70+AD75+AD80+AD87+AD93+AD97+AD100+AD106+AD110+AD115+AD120+AD127+AD132+AD137+AD142+AD146</f>
        <v>648784.75319128</v>
      </c>
      <c r="AE20" s="50"/>
      <c r="AF20" s="50" t="n">
        <f aca="false">AF26+AF37+AF44+AF52+AF56+AF66+AF75+AF80+AF87+AF93+AF97+AF100+AF106+AF110+AF115+AF120+AF127+AF132+AF137+AF142</f>
        <v>103.617</v>
      </c>
      <c r="AG20" s="50"/>
      <c r="AH20" s="50" t="n">
        <f aca="false">AH26+AH37+AH44+AH52+AH56+AH66+AH75+AH80+AH87+AH93+AH97+AH100+AH106+AH110+AH115+AH120+AH127+AH132+AH137+AH142</f>
        <v>3927665.5</v>
      </c>
      <c r="AI20" s="50" t="n">
        <f aca="false">AI26+AI37+AI44+AI52+AI56+AI66+AI75+AI80+AI87+AI93+AI97+AI100+AI106+AI110+AI115+AI120+AI127+AI132+AI137+AI142</f>
        <v>3456345.64</v>
      </c>
      <c r="AJ20" s="51" t="n">
        <f aca="false">AJ26+AJ37+AJ44+AJ52+AJ56+AJ66+AJ75+AJ80+AJ87+AJ93+AJ97+AJ100+AJ106+AJ110+AJ115+AJ120+AJ127+AJ132+AJ137+AJ142</f>
        <v>471319.86</v>
      </c>
      <c r="AK20" s="50" t="n">
        <f aca="false">AH20+AB20+V20</f>
        <v>10130026.765408</v>
      </c>
      <c r="AL20" s="68" t="n">
        <f aca="false">AI20/AH20*100</f>
        <v>88</v>
      </c>
      <c r="BA20" s="50" t="n">
        <v>3792827.38</v>
      </c>
    </row>
    <row r="21" s="69" customFormat="true" ht="25.5" hidden="false" customHeight="true" outlineLevel="0" collapsed="false">
      <c r="A21" s="64"/>
      <c r="B21" s="70" t="s">
        <v>19</v>
      </c>
      <c r="C21" s="66"/>
      <c r="D21" s="67"/>
      <c r="E21" s="50"/>
      <c r="F21" s="50"/>
      <c r="G21" s="50"/>
      <c r="H21" s="50"/>
      <c r="I21" s="71"/>
      <c r="J21" s="71"/>
      <c r="K21" s="66"/>
      <c r="L21" s="50"/>
      <c r="M21" s="71"/>
      <c r="N21" s="71"/>
      <c r="O21" s="71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72"/>
      <c r="AC21" s="72"/>
      <c r="AD21" s="72"/>
      <c r="AE21" s="50"/>
      <c r="AF21" s="50"/>
      <c r="AG21" s="50"/>
      <c r="AH21" s="73"/>
      <c r="AI21" s="50"/>
      <c r="AJ21" s="51"/>
      <c r="AK21" s="74"/>
      <c r="AL21" s="13"/>
      <c r="BA21" s="75"/>
    </row>
    <row r="22" s="69" customFormat="true" ht="30" hidden="false" customHeight="true" outlineLevel="0" collapsed="false">
      <c r="A22" s="64"/>
      <c r="B22" s="65" t="s">
        <v>39</v>
      </c>
      <c r="C22" s="76"/>
      <c r="D22" s="67"/>
      <c r="E22" s="50" t="n">
        <f aca="false">E25+E35+E42+E48+E49+E50+E51+E54+E55+E59+E63+E64+E65+E72+E73+E77+E78+E79+E85+E89+E90+E91+E92+E95+E99+E102+E103+E104+E105+E108+E109+E112+E113+E114+E117+E118+E119+E125+E129+E130+E131+E134+E139+E140+E146</f>
        <v>256.808</v>
      </c>
      <c r="F22" s="57"/>
      <c r="G22" s="50" t="n">
        <f aca="false">G25+G35+G42+G48+G49+G50+G51+G54+G55+G59+G63+G64+G65+G72+G73+G77+G78+G79+G85+G89+G90+G91+G92+G95+G99+G102+G103+G104+G105+G108+G109+G112+G113+G114+G117+G118+G119+G125+G129+G130+G131+G134+G139+G140+G146</f>
        <v>8213795.96541</v>
      </c>
      <c r="H22" s="50"/>
      <c r="I22" s="71"/>
      <c r="J22" s="71"/>
      <c r="K22" s="66"/>
      <c r="L22" s="50"/>
      <c r="M22" s="71"/>
      <c r="N22" s="71"/>
      <c r="O22" s="71"/>
      <c r="P22" s="50"/>
      <c r="Q22" s="50"/>
      <c r="R22" s="50"/>
      <c r="S22" s="50"/>
      <c r="T22" s="50" t="n">
        <f aca="false">T35+T42+T59+T77+T89+T112+T125+T134+T139</f>
        <v>36.61</v>
      </c>
      <c r="U22" s="50"/>
      <c r="V22" s="50" t="n">
        <f aca="false">V28+V34+V42+V59+V77+V89+V102+V112+V125+V134+V139+V146</f>
        <v>1244847.91222</v>
      </c>
      <c r="W22" s="50" t="n">
        <f aca="false">W35+W42+W59+W77+W89+W102+W112+W125+W134+W146</f>
        <v>3.19999999995343</v>
      </c>
      <c r="X22" s="50" t="n">
        <f aca="false">X28+X34+X42+X59+X77+X89+X102+X112+X125+X134+X139+X146</f>
        <v>1244844.71222</v>
      </c>
      <c r="Y22" s="50"/>
      <c r="Z22" s="50" t="n">
        <f aca="false">Z28+Z29+Z30+Z34+Z40+Z48+Z49+Z54+Z63+Z64+Z72+Z78+Z82+Z90+Z95+Z99+Z102+Z103+Z104+Z108+Z113+Z117+Z118+Z123+Z129+Z130+Z139+Z146</f>
        <v>116.581</v>
      </c>
      <c r="AA22" s="50"/>
      <c r="AB22" s="50" t="n">
        <f aca="false">AB28+AB29+AB30+AB34+AB40+AB48+AB49+AB54+AB63+AB64+AB72+AB78+AB82+AB90+AB95+AB99+AB102+AB103+AB104+AB108+AB113+AB117+AB118+AB123+AB129+AB130+AB139+AB146</f>
        <v>3041282.553188</v>
      </c>
      <c r="AC22" s="50" t="n">
        <f aca="false">AC28+AC29+AC30+AC34+AC40+AC48+AC49+AC54+AC63+AC64+AC72+AC78+AC82+AC90+AC95+AC99+AC102+AC103+AC104+AC108+AC113+AC117+AC118+AC123+AC129+AC130+AC139+AC146</f>
        <v>2858805.59999672</v>
      </c>
      <c r="AD22" s="50" t="n">
        <f aca="false">AD28+AD29+AD30+AD34+AD40+AD48+AD49+AD54+AD63+AD64+AD72+AD78+AD82+AD90+AD95+AD99+AD102+AD103+AD104+AD108+AD113+AD117+AD118+AD123+AD129+AD130+AD139+AD146</f>
        <v>182476.95319128</v>
      </c>
      <c r="AE22" s="50"/>
      <c r="AF22" s="50" t="n">
        <f aca="false">AF20</f>
        <v>103.617</v>
      </c>
      <c r="AG22" s="50"/>
      <c r="AH22" s="73" t="n">
        <f aca="false">AH20</f>
        <v>3927665.5</v>
      </c>
      <c r="AI22" s="50" t="n">
        <f aca="false">AI20</f>
        <v>3456345.64</v>
      </c>
      <c r="AJ22" s="51" t="n">
        <f aca="false">AJ20</f>
        <v>471319.86</v>
      </c>
      <c r="AK22" s="50" t="n">
        <f aca="false">AH22+AB22+V22</f>
        <v>8213795.965408</v>
      </c>
      <c r="AL22" s="77" t="n">
        <f aca="false">AF22+Z22+T22</f>
        <v>256.808</v>
      </c>
      <c r="BA22" s="75"/>
    </row>
    <row r="23" s="69" customFormat="true" ht="27.75" hidden="false" customHeight="true" outlineLevel="0" collapsed="false">
      <c r="A23" s="64"/>
      <c r="B23" s="78" t="s">
        <v>40</v>
      </c>
      <c r="C23" s="76"/>
      <c r="D23" s="66"/>
      <c r="E23" s="50" t="n">
        <f aca="false">E36+E43+E74+E86+E126+E136+E141+E144</f>
        <v>108.0901</v>
      </c>
      <c r="F23" s="50"/>
      <c r="G23" s="50" t="n">
        <f aca="false">G36+G43+G74+G86+G126+G136+G141</f>
        <v>1916230.8</v>
      </c>
      <c r="H23" s="50"/>
      <c r="I23" s="71"/>
      <c r="J23" s="71"/>
      <c r="K23" s="66"/>
      <c r="L23" s="50"/>
      <c r="M23" s="71"/>
      <c r="N23" s="71"/>
      <c r="O23" s="71"/>
      <c r="P23" s="50"/>
      <c r="Q23" s="50"/>
      <c r="R23" s="50"/>
      <c r="S23" s="50"/>
      <c r="T23" s="50" t="n">
        <f aca="false">T36+T43+T74+T86+T126+T136+T141+T144</f>
        <v>74.3711</v>
      </c>
      <c r="U23" s="50"/>
      <c r="V23" s="50" t="n">
        <f aca="false">V36+V43+V74+V86+V126+V136+V141+V144</f>
        <v>1449923</v>
      </c>
      <c r="W23" s="50"/>
      <c r="X23" s="50" t="n">
        <f aca="false">X36+X43+X74+X86+X126+X136+X141+X144</f>
        <v>1449923</v>
      </c>
      <c r="Y23" s="50"/>
      <c r="Z23" s="50" t="n">
        <f aca="false">Z36+Z43+Z74+Z86+Z126+Z136+Z141+Z144</f>
        <v>33.719</v>
      </c>
      <c r="AA23" s="50"/>
      <c r="AB23" s="50" t="n">
        <f aca="false">AB36+AB43+AB74+AB86+AB126+AB136+AB141+AB144</f>
        <v>466307.8</v>
      </c>
      <c r="AC23" s="50"/>
      <c r="AD23" s="50" t="n">
        <f aca="false">AD36+AD43+AD74+AD86+AD126+AD136+AD141+AD144</f>
        <v>466307.8</v>
      </c>
      <c r="AE23" s="50"/>
      <c r="AF23" s="50"/>
      <c r="AG23" s="50"/>
      <c r="AH23" s="73"/>
      <c r="AI23" s="50"/>
      <c r="AJ23" s="51"/>
      <c r="AK23" s="50" t="n">
        <f aca="false">AH23+AB23+V23</f>
        <v>1916230.8</v>
      </c>
      <c r="AL23" s="77" t="n">
        <f aca="false">AF23+Z23+T23</f>
        <v>108.0901</v>
      </c>
      <c r="BA23" s="75"/>
    </row>
    <row r="24" s="69" customFormat="true" ht="27.75" hidden="false" customHeight="true" outlineLevel="0" collapsed="false">
      <c r="A24" s="52" t="s">
        <v>29</v>
      </c>
      <c r="B24" s="52"/>
      <c r="C24" s="66"/>
      <c r="D24" s="66"/>
      <c r="E24" s="50"/>
      <c r="F24" s="50"/>
      <c r="G24" s="50"/>
      <c r="H24" s="50"/>
      <c r="I24" s="71"/>
      <c r="J24" s="71"/>
      <c r="K24" s="66"/>
      <c r="L24" s="50"/>
      <c r="M24" s="71"/>
      <c r="N24" s="71"/>
      <c r="O24" s="71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73"/>
      <c r="AI24" s="50"/>
      <c r="AJ24" s="51"/>
      <c r="AL24" s="13"/>
      <c r="BA24" s="75"/>
    </row>
    <row r="25" s="69" customFormat="true" ht="47.25" hidden="false" customHeight="true" outlineLevel="0" collapsed="false">
      <c r="A25" s="54" t="n">
        <v>1</v>
      </c>
      <c r="B25" s="79" t="s">
        <v>41</v>
      </c>
      <c r="C25" s="55" t="s">
        <v>31</v>
      </c>
      <c r="D25" s="66"/>
      <c r="E25" s="56" t="n">
        <v>7.64</v>
      </c>
      <c r="F25" s="56"/>
      <c r="G25" s="57" t="n">
        <f aca="false">E25*30000</f>
        <v>229200</v>
      </c>
      <c r="H25" s="50"/>
      <c r="I25" s="71"/>
      <c r="J25" s="71"/>
      <c r="K25" s="66"/>
      <c r="L25" s="50"/>
      <c r="M25" s="71"/>
      <c r="N25" s="71"/>
      <c r="O25" s="71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6" t="n">
        <f aca="false">E25</f>
        <v>7.64</v>
      </c>
      <c r="AG25" s="56"/>
      <c r="AH25" s="57" t="n">
        <f aca="false">G25</f>
        <v>229200</v>
      </c>
      <c r="AI25" s="57" t="n">
        <f aca="false">AH25*0.88</f>
        <v>201696</v>
      </c>
      <c r="AJ25" s="80" t="n">
        <f aca="false">AH25-AI25</f>
        <v>27504</v>
      </c>
      <c r="AL25" s="13"/>
      <c r="BA25" s="75"/>
    </row>
    <row r="26" s="69" customFormat="true" ht="27.75" hidden="false" customHeight="true" outlineLevel="0" collapsed="false">
      <c r="A26" s="81" t="s">
        <v>42</v>
      </c>
      <c r="B26" s="81"/>
      <c r="C26" s="81"/>
      <c r="D26" s="66"/>
      <c r="E26" s="50" t="n">
        <f aca="false">SUM(E25)</f>
        <v>7.64</v>
      </c>
      <c r="F26" s="50"/>
      <c r="G26" s="50" t="n">
        <f aca="false">SUM(G25)</f>
        <v>229200</v>
      </c>
      <c r="H26" s="50"/>
      <c r="I26" s="71"/>
      <c r="J26" s="71"/>
      <c r="K26" s="66"/>
      <c r="L26" s="50"/>
      <c r="M26" s="71"/>
      <c r="N26" s="71"/>
      <c r="O26" s="71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 t="n">
        <f aca="false">SUM(AF25)</f>
        <v>7.64</v>
      </c>
      <c r="AG26" s="50"/>
      <c r="AH26" s="73" t="n">
        <f aca="false">SUM(AH25)</f>
        <v>229200</v>
      </c>
      <c r="AI26" s="50" t="n">
        <f aca="false">SUM(AI25)</f>
        <v>201696</v>
      </c>
      <c r="AJ26" s="51" t="n">
        <f aca="false">SUM(AJ25)</f>
        <v>27504</v>
      </c>
      <c r="AL26" s="13"/>
      <c r="BA26" s="75"/>
    </row>
    <row r="27" s="69" customFormat="true" ht="30.75" hidden="false" customHeight="true" outlineLevel="0" collapsed="false">
      <c r="A27" s="52" t="s">
        <v>43</v>
      </c>
      <c r="B27" s="52"/>
      <c r="C27" s="50"/>
      <c r="D27" s="50"/>
      <c r="E27" s="50"/>
      <c r="F27" s="82"/>
      <c r="G27" s="50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7"/>
      <c r="U27" s="57"/>
      <c r="V27" s="57"/>
      <c r="W27" s="57"/>
      <c r="X27" s="57"/>
      <c r="Y27" s="57"/>
      <c r="Z27" s="57"/>
      <c r="AA27" s="55"/>
      <c r="AB27" s="57"/>
      <c r="AC27" s="57"/>
      <c r="AD27" s="57"/>
      <c r="AE27" s="57"/>
      <c r="AF27" s="57"/>
      <c r="AG27" s="57"/>
      <c r="AH27" s="83"/>
      <c r="AI27" s="57"/>
      <c r="AJ27" s="80"/>
      <c r="AK27" s="13"/>
      <c r="AL27" s="13"/>
    </row>
    <row r="28" s="69" customFormat="true" ht="45.75" hidden="false" customHeight="true" outlineLevel="0" collapsed="false">
      <c r="A28" s="54" t="n">
        <v>2</v>
      </c>
      <c r="B28" s="79" t="s">
        <v>44</v>
      </c>
      <c r="C28" s="55" t="s">
        <v>45</v>
      </c>
      <c r="D28" s="55"/>
      <c r="E28" s="56" t="n">
        <f aca="false">14.635-8.245</f>
        <v>6.39</v>
      </c>
      <c r="F28" s="56"/>
      <c r="G28" s="57" t="n">
        <f aca="false">V28+AB28</f>
        <v>336116.68946</v>
      </c>
      <c r="H28" s="84"/>
      <c r="I28" s="85"/>
      <c r="J28" s="85"/>
      <c r="K28" s="85"/>
      <c r="L28" s="56"/>
      <c r="M28" s="85"/>
      <c r="N28" s="85"/>
      <c r="O28" s="85"/>
      <c r="P28" s="56"/>
      <c r="Q28" s="85"/>
      <c r="R28" s="85"/>
      <c r="S28" s="85"/>
      <c r="T28" s="56"/>
      <c r="U28" s="57"/>
      <c r="V28" s="57" t="n">
        <f aca="false">150000+3263.48706+333.5004</f>
        <v>153596.98746</v>
      </c>
      <c r="W28" s="57"/>
      <c r="X28" s="57" t="n">
        <f aca="false">V28</f>
        <v>153596.98746</v>
      </c>
      <c r="Y28" s="57"/>
      <c r="Z28" s="56" t="n">
        <f aca="false">E28</f>
        <v>6.39</v>
      </c>
      <c r="AA28" s="56"/>
      <c r="AB28" s="57" t="n">
        <f aca="false">186116.68946-3263.48706-333.5004</f>
        <v>182519.702</v>
      </c>
      <c r="AC28" s="57" t="n">
        <f aca="false">AB28*0.94</f>
        <v>171568.51988</v>
      </c>
      <c r="AD28" s="57" t="n">
        <f aca="false">AB28-AC28</f>
        <v>10951.18212</v>
      </c>
      <c r="AE28" s="57"/>
      <c r="AF28" s="57"/>
      <c r="AG28" s="57"/>
      <c r="AH28" s="83"/>
      <c r="AI28" s="57"/>
      <c r="AJ28" s="80"/>
      <c r="AK28" s="13"/>
      <c r="AL28" s="13"/>
    </row>
    <row r="29" s="69" customFormat="true" ht="42.45" hidden="false" customHeight="true" outlineLevel="0" collapsed="false">
      <c r="A29" s="54" t="n">
        <v>3</v>
      </c>
      <c r="B29" s="79" t="s">
        <v>46</v>
      </c>
      <c r="C29" s="55" t="s">
        <v>31</v>
      </c>
      <c r="D29" s="55"/>
      <c r="E29" s="56" t="n">
        <f aca="false">(2.975-0.02)+(9.02-6.67)</f>
        <v>5.305</v>
      </c>
      <c r="F29" s="86"/>
      <c r="G29" s="57" t="n">
        <v>136547.5415</v>
      </c>
      <c r="H29" s="84"/>
      <c r="I29" s="85"/>
      <c r="J29" s="85"/>
      <c r="K29" s="85"/>
      <c r="L29" s="56"/>
      <c r="M29" s="85"/>
      <c r="N29" s="85"/>
      <c r="O29" s="85"/>
      <c r="P29" s="56"/>
      <c r="Q29" s="85"/>
      <c r="R29" s="85"/>
      <c r="S29" s="85"/>
      <c r="T29" s="56"/>
      <c r="U29" s="57"/>
      <c r="V29" s="57"/>
      <c r="W29" s="57"/>
      <c r="X29" s="57"/>
      <c r="Y29" s="57"/>
      <c r="Z29" s="56" t="n">
        <f aca="false">E29</f>
        <v>5.305</v>
      </c>
      <c r="AA29" s="56"/>
      <c r="AB29" s="57" t="n">
        <f aca="false">G29</f>
        <v>136547.5415</v>
      </c>
      <c r="AC29" s="57" t="n">
        <f aca="false">AB29*0.94</f>
        <v>128354.68901</v>
      </c>
      <c r="AD29" s="57" t="n">
        <f aca="false">AB29-AC29</f>
        <v>8192.85249000001</v>
      </c>
      <c r="AE29" s="57"/>
      <c r="AF29" s="57"/>
      <c r="AG29" s="57"/>
      <c r="AH29" s="83"/>
      <c r="AI29" s="57"/>
      <c r="AJ29" s="80"/>
      <c r="AK29" s="13"/>
      <c r="AL29" s="13"/>
    </row>
    <row r="30" s="69" customFormat="true" ht="25.9" hidden="false" customHeight="true" outlineLevel="0" collapsed="false">
      <c r="A30" s="54" t="n">
        <v>4</v>
      </c>
      <c r="B30" s="79" t="s">
        <v>47</v>
      </c>
      <c r="C30" s="55" t="s">
        <v>31</v>
      </c>
      <c r="D30" s="55"/>
      <c r="E30" s="86" t="n">
        <v>5.05</v>
      </c>
      <c r="F30" s="86"/>
      <c r="G30" s="57" t="n">
        <v>142804.11062</v>
      </c>
      <c r="H30" s="84"/>
      <c r="I30" s="85"/>
      <c r="J30" s="85"/>
      <c r="K30" s="85"/>
      <c r="L30" s="56"/>
      <c r="M30" s="85"/>
      <c r="N30" s="85"/>
      <c r="O30" s="85"/>
      <c r="P30" s="56"/>
      <c r="Q30" s="85"/>
      <c r="R30" s="85"/>
      <c r="S30" s="85"/>
      <c r="T30" s="56"/>
      <c r="U30" s="57"/>
      <c r="V30" s="57"/>
      <c r="W30" s="57"/>
      <c r="X30" s="57"/>
      <c r="Y30" s="57"/>
      <c r="Z30" s="56" t="n">
        <f aca="false">E30</f>
        <v>5.05</v>
      </c>
      <c r="AA30" s="56"/>
      <c r="AB30" s="57" t="n">
        <f aca="false">G30</f>
        <v>142804.11062</v>
      </c>
      <c r="AC30" s="57" t="n">
        <f aca="false">AB30*0.94</f>
        <v>134235.8639828</v>
      </c>
      <c r="AD30" s="57" t="n">
        <f aca="false">AB30-AC30</f>
        <v>8568.24663720001</v>
      </c>
      <c r="AE30" s="57"/>
      <c r="AF30" s="57"/>
      <c r="AG30" s="57"/>
      <c r="AH30" s="83" t="s">
        <v>48</v>
      </c>
      <c r="AI30" s="57"/>
      <c r="AJ30" s="80"/>
      <c r="AK30" s="13"/>
      <c r="AL30" s="13"/>
    </row>
    <row r="31" s="69" customFormat="true" ht="42.45" hidden="false" customHeight="true" outlineLevel="0" collapsed="false">
      <c r="A31" s="54" t="n">
        <v>5</v>
      </c>
      <c r="B31" s="79" t="s">
        <v>49</v>
      </c>
      <c r="C31" s="55" t="s">
        <v>50</v>
      </c>
      <c r="D31" s="55"/>
      <c r="E31" s="86" t="n">
        <v>4.15</v>
      </c>
      <c r="F31" s="86"/>
      <c r="G31" s="57" t="n">
        <f aca="false">E31*30000</f>
        <v>124500</v>
      </c>
      <c r="H31" s="84"/>
      <c r="I31" s="85"/>
      <c r="J31" s="85"/>
      <c r="K31" s="85"/>
      <c r="L31" s="56"/>
      <c r="M31" s="85"/>
      <c r="N31" s="85"/>
      <c r="O31" s="85"/>
      <c r="P31" s="56"/>
      <c r="Q31" s="85"/>
      <c r="R31" s="85"/>
      <c r="S31" s="85"/>
      <c r="T31" s="56"/>
      <c r="U31" s="57"/>
      <c r="V31" s="57"/>
      <c r="W31" s="57"/>
      <c r="X31" s="57"/>
      <c r="Y31" s="57"/>
      <c r="Z31" s="56"/>
      <c r="AA31" s="56"/>
      <c r="AB31" s="57"/>
      <c r="AC31" s="57"/>
      <c r="AD31" s="57"/>
      <c r="AE31" s="57"/>
      <c r="AF31" s="86" t="n">
        <f aca="false">E31</f>
        <v>4.15</v>
      </c>
      <c r="AG31" s="57"/>
      <c r="AH31" s="83" t="n">
        <f aca="false">G31</f>
        <v>124500</v>
      </c>
      <c r="AI31" s="57" t="n">
        <f aca="false">AH31*0.88</f>
        <v>109560</v>
      </c>
      <c r="AJ31" s="80" t="n">
        <f aca="false">AH31-AI31</f>
        <v>14940</v>
      </c>
      <c r="AK31" s="13"/>
      <c r="AL31" s="13"/>
    </row>
    <row r="32" s="69" customFormat="true" ht="26.9" hidden="false" customHeight="true" outlineLevel="0" collapsed="false">
      <c r="A32" s="54" t="n">
        <v>6</v>
      </c>
      <c r="B32" s="79" t="s">
        <v>51</v>
      </c>
      <c r="C32" s="55" t="s">
        <v>31</v>
      </c>
      <c r="D32" s="55"/>
      <c r="E32" s="86" t="n">
        <v>2.9</v>
      </c>
      <c r="F32" s="86"/>
      <c r="G32" s="57" t="n">
        <f aca="false">E32*30000</f>
        <v>87000</v>
      </c>
      <c r="H32" s="84"/>
      <c r="I32" s="85"/>
      <c r="J32" s="85"/>
      <c r="K32" s="85"/>
      <c r="L32" s="56"/>
      <c r="M32" s="85"/>
      <c r="N32" s="85"/>
      <c r="O32" s="85"/>
      <c r="P32" s="56"/>
      <c r="Q32" s="85"/>
      <c r="R32" s="85"/>
      <c r="S32" s="85"/>
      <c r="T32" s="56"/>
      <c r="U32" s="57"/>
      <c r="V32" s="57" t="s">
        <v>52</v>
      </c>
      <c r="W32" s="57"/>
      <c r="X32" s="57"/>
      <c r="Y32" s="57"/>
      <c r="Z32" s="56"/>
      <c r="AA32" s="56"/>
      <c r="AB32" s="57"/>
      <c r="AC32" s="57"/>
      <c r="AD32" s="57"/>
      <c r="AE32" s="57"/>
      <c r="AF32" s="86" t="n">
        <f aca="false">E32</f>
        <v>2.9</v>
      </c>
      <c r="AG32" s="57"/>
      <c r="AH32" s="83" t="n">
        <f aca="false">G32</f>
        <v>87000</v>
      </c>
      <c r="AI32" s="57" t="n">
        <f aca="false">AH32*0.88</f>
        <v>76560</v>
      </c>
      <c r="AJ32" s="80" t="n">
        <f aca="false">AH32-AI32</f>
        <v>10440</v>
      </c>
      <c r="AK32" s="13"/>
      <c r="AL32" s="13"/>
    </row>
    <row r="33" s="69" customFormat="true" ht="39.35" hidden="false" customHeight="true" outlineLevel="0" collapsed="false">
      <c r="A33" s="54" t="n">
        <v>7</v>
      </c>
      <c r="B33" s="79" t="s">
        <v>53</v>
      </c>
      <c r="C33" s="55" t="s">
        <v>45</v>
      </c>
      <c r="D33" s="55"/>
      <c r="E33" s="86" t="n">
        <v>1.48</v>
      </c>
      <c r="F33" s="86"/>
      <c r="G33" s="57" t="n">
        <f aca="false">E33*70000</f>
        <v>103600</v>
      </c>
      <c r="H33" s="84"/>
      <c r="I33" s="85"/>
      <c r="J33" s="85"/>
      <c r="K33" s="85"/>
      <c r="L33" s="56"/>
      <c r="M33" s="85"/>
      <c r="N33" s="85"/>
      <c r="O33" s="85"/>
      <c r="P33" s="56"/>
      <c r="Q33" s="85"/>
      <c r="R33" s="85"/>
      <c r="S33" s="85"/>
      <c r="T33" s="56"/>
      <c r="U33" s="57"/>
      <c r="V33" s="57"/>
      <c r="W33" s="57"/>
      <c r="X33" s="57"/>
      <c r="Y33" s="57"/>
      <c r="Z33" s="56"/>
      <c r="AA33" s="56"/>
      <c r="AB33" s="57"/>
      <c r="AC33" s="57"/>
      <c r="AD33" s="57"/>
      <c r="AE33" s="57"/>
      <c r="AF33" s="86" t="n">
        <f aca="false">E33</f>
        <v>1.48</v>
      </c>
      <c r="AG33" s="57"/>
      <c r="AH33" s="83" t="n">
        <f aca="false">G33</f>
        <v>103600</v>
      </c>
      <c r="AI33" s="57" t="n">
        <f aca="false">AH33*0.88</f>
        <v>91168</v>
      </c>
      <c r="AJ33" s="80" t="n">
        <f aca="false">AH33-AI33</f>
        <v>12432</v>
      </c>
      <c r="AK33" s="13"/>
      <c r="AL33" s="13"/>
    </row>
    <row r="34" s="69" customFormat="true" ht="40.4" hidden="false" customHeight="true" outlineLevel="0" collapsed="false">
      <c r="A34" s="54" t="n">
        <v>8</v>
      </c>
      <c r="B34" s="79" t="s">
        <v>54</v>
      </c>
      <c r="C34" s="55" t="s">
        <v>31</v>
      </c>
      <c r="D34" s="55"/>
      <c r="E34" s="86" t="n">
        <f aca="false">3.65-0.745</f>
        <v>2.905</v>
      </c>
      <c r="F34" s="86"/>
      <c r="G34" s="57" t="n">
        <f aca="false">V34+AB34</f>
        <v>79845.6429</v>
      </c>
      <c r="H34" s="84"/>
      <c r="I34" s="85"/>
      <c r="J34" s="85"/>
      <c r="K34" s="85"/>
      <c r="L34" s="56"/>
      <c r="M34" s="85"/>
      <c r="N34" s="85"/>
      <c r="O34" s="85"/>
      <c r="P34" s="56"/>
      <c r="Q34" s="85"/>
      <c r="R34" s="85"/>
      <c r="S34" s="85"/>
      <c r="T34" s="56"/>
      <c r="U34" s="57"/>
      <c r="V34" s="57" t="n">
        <v>50160.12811</v>
      </c>
      <c r="W34" s="57"/>
      <c r="X34" s="57" t="n">
        <f aca="false">V34</f>
        <v>50160.12811</v>
      </c>
      <c r="Y34" s="57"/>
      <c r="Z34" s="56" t="n">
        <f aca="false">E34</f>
        <v>2.905</v>
      </c>
      <c r="AA34" s="56"/>
      <c r="AB34" s="57" t="n">
        <v>29685.51479</v>
      </c>
      <c r="AC34" s="57" t="n">
        <f aca="false">AB34*0.94</f>
        <v>27904.3839026</v>
      </c>
      <c r="AD34" s="57" t="n">
        <f aca="false">AB34-AC34</f>
        <v>1781.1308874</v>
      </c>
      <c r="AE34" s="57"/>
      <c r="AF34" s="86"/>
      <c r="AG34" s="57"/>
      <c r="AH34" s="83"/>
      <c r="AI34" s="57"/>
      <c r="AJ34" s="80"/>
      <c r="AK34" s="13"/>
      <c r="AL34" s="13"/>
    </row>
    <row r="35" s="69" customFormat="true" ht="26.25" hidden="false" customHeight="true" outlineLevel="0" collapsed="false">
      <c r="A35" s="87"/>
      <c r="B35" s="79" t="s">
        <v>55</v>
      </c>
      <c r="C35" s="55"/>
      <c r="D35" s="55"/>
      <c r="E35" s="88" t="n">
        <f aca="false">SUM(E28:E34)</f>
        <v>28.18</v>
      </c>
      <c r="F35" s="57"/>
      <c r="G35" s="57" t="n">
        <f aca="false">SUM(G28:G34)</f>
        <v>1010413.98448</v>
      </c>
      <c r="H35" s="88"/>
      <c r="I35" s="85"/>
      <c r="J35" s="85"/>
      <c r="K35" s="85"/>
      <c r="L35" s="88" t="e">
        <f aca="false">SUM(#REF!)</f>
        <v>#REF!</v>
      </c>
      <c r="M35" s="85" t="e">
        <f aca="false">SUM(#REF!)</f>
        <v>#REF!</v>
      </c>
      <c r="N35" s="85" t="e">
        <f aca="false">SUM(#REF!)</f>
        <v>#REF!</v>
      </c>
      <c r="O35" s="85"/>
      <c r="P35" s="88" t="e">
        <f aca="false">SUM(#REF!)</f>
        <v>#REF!</v>
      </c>
      <c r="Q35" s="85" t="e">
        <f aca="false">SUM(#REF!)</f>
        <v>#REF!</v>
      </c>
      <c r="R35" s="57" t="e">
        <f aca="false">SUM(#REF!)</f>
        <v>#REF!</v>
      </c>
      <c r="S35" s="85"/>
      <c r="T35" s="57" t="n">
        <f aca="false">SUM(T28:T30)</f>
        <v>0</v>
      </c>
      <c r="U35" s="88"/>
      <c r="V35" s="57" t="n">
        <f aca="false">SUM(V28:V34)</f>
        <v>203757.11557</v>
      </c>
      <c r="W35" s="57"/>
      <c r="X35" s="57" t="n">
        <f aca="false">SUM(X28:X34)</f>
        <v>203757.11557</v>
      </c>
      <c r="Y35" s="57"/>
      <c r="Z35" s="57" t="n">
        <f aca="false">SUM(Z28:Z34)</f>
        <v>19.65</v>
      </c>
      <c r="AA35" s="88"/>
      <c r="AB35" s="57" t="n">
        <f aca="false">SUM(AB28:AB34)</f>
        <v>491556.86891</v>
      </c>
      <c r="AC35" s="57" t="n">
        <f aca="false">SUM(AC28:AC34)</f>
        <v>462063.4567754</v>
      </c>
      <c r="AD35" s="57" t="n">
        <f aca="false">SUM(AD28:AD34)</f>
        <v>29493.4121346</v>
      </c>
      <c r="AE35" s="50"/>
      <c r="AF35" s="56" t="n">
        <f aca="false">SUM(AF31:AF33)</f>
        <v>8.53</v>
      </c>
      <c r="AG35" s="57"/>
      <c r="AH35" s="83" t="n">
        <f aca="false">SUM(AH31:AH33)</f>
        <v>315100</v>
      </c>
      <c r="AI35" s="57" t="n">
        <f aca="false">SUM(AI31:AI33)</f>
        <v>277288</v>
      </c>
      <c r="AJ35" s="80" t="n">
        <f aca="false">SUM(AJ31:AJ33)</f>
        <v>37812</v>
      </c>
      <c r="AK35" s="13"/>
      <c r="AL35" s="13"/>
    </row>
    <row r="36" s="69" customFormat="true" ht="29.25" hidden="false" customHeight="true" outlineLevel="0" collapsed="false">
      <c r="A36" s="87"/>
      <c r="B36" s="79" t="s">
        <v>56</v>
      </c>
      <c r="C36" s="55"/>
      <c r="D36" s="55"/>
      <c r="E36" s="88" t="n">
        <f aca="false">T36+Z36</f>
        <v>30.8741</v>
      </c>
      <c r="F36" s="88"/>
      <c r="G36" s="57" t="n">
        <f aca="false">V36+AB36</f>
        <v>472054.2</v>
      </c>
      <c r="H36" s="88"/>
      <c r="I36" s="85"/>
      <c r="J36" s="85"/>
      <c r="K36" s="85"/>
      <c r="L36" s="88"/>
      <c r="M36" s="85"/>
      <c r="N36" s="85"/>
      <c r="O36" s="85"/>
      <c r="P36" s="88"/>
      <c r="Q36" s="85"/>
      <c r="R36" s="57"/>
      <c r="S36" s="85"/>
      <c r="T36" s="88" t="n">
        <v>21.8921</v>
      </c>
      <c r="U36" s="88"/>
      <c r="V36" s="57" t="n">
        <f aca="false">329407+74511</f>
        <v>403918</v>
      </c>
      <c r="W36" s="57"/>
      <c r="X36" s="57" t="n">
        <f aca="false">V36</f>
        <v>403918</v>
      </c>
      <c r="Y36" s="57"/>
      <c r="Z36" s="57" t="n">
        <v>8.982</v>
      </c>
      <c r="AA36" s="89"/>
      <c r="AB36" s="57" t="n">
        <v>68136.2</v>
      </c>
      <c r="AC36" s="57"/>
      <c r="AD36" s="57" t="n">
        <f aca="false">AB36</f>
        <v>68136.2</v>
      </c>
      <c r="AE36" s="50"/>
      <c r="AF36" s="50"/>
      <c r="AG36" s="50"/>
      <c r="AH36" s="73"/>
      <c r="AI36" s="50"/>
      <c r="AJ36" s="51"/>
      <c r="AK36" s="13"/>
      <c r="AL36" s="13"/>
    </row>
    <row r="37" s="69" customFormat="true" ht="31.5" hidden="false" customHeight="true" outlineLevel="0" collapsed="false">
      <c r="A37" s="81" t="s">
        <v>57</v>
      </c>
      <c r="B37" s="81"/>
      <c r="C37" s="55"/>
      <c r="D37" s="55"/>
      <c r="E37" s="89" t="n">
        <f aca="false">E35+E36</f>
        <v>59.0541</v>
      </c>
      <c r="F37" s="89"/>
      <c r="G37" s="50" t="n">
        <f aca="false">G35+G36</f>
        <v>1482468.18448</v>
      </c>
      <c r="H37" s="89"/>
      <c r="I37" s="71"/>
      <c r="J37" s="71"/>
      <c r="K37" s="71"/>
      <c r="L37" s="89"/>
      <c r="M37" s="71"/>
      <c r="N37" s="71"/>
      <c r="O37" s="71"/>
      <c r="P37" s="89"/>
      <c r="Q37" s="71"/>
      <c r="R37" s="50"/>
      <c r="S37" s="71"/>
      <c r="T37" s="89" t="n">
        <f aca="false">T35+T36</f>
        <v>21.8921</v>
      </c>
      <c r="U37" s="89"/>
      <c r="V37" s="50" t="n">
        <f aca="false">V35+V36</f>
        <v>607675.11557</v>
      </c>
      <c r="W37" s="50" t="n">
        <f aca="false">W35+W36</f>
        <v>0</v>
      </c>
      <c r="X37" s="50" t="n">
        <f aca="false">X35+X36</f>
        <v>607675.11557</v>
      </c>
      <c r="Y37" s="50"/>
      <c r="Z37" s="89" t="n">
        <f aca="false">Z35+Z36</f>
        <v>28.632</v>
      </c>
      <c r="AA37" s="89"/>
      <c r="AB37" s="50" t="n">
        <f aca="false">AB35+AB36</f>
        <v>559693.06891</v>
      </c>
      <c r="AC37" s="50" t="n">
        <f aca="false">AC35+AC36</f>
        <v>462063.4567754</v>
      </c>
      <c r="AD37" s="50" t="n">
        <f aca="false">AD35+AD36</f>
        <v>97629.6121346</v>
      </c>
      <c r="AE37" s="50"/>
      <c r="AF37" s="89" t="n">
        <f aca="false">AF35+AF36</f>
        <v>8.53</v>
      </c>
      <c r="AG37" s="89"/>
      <c r="AH37" s="50" t="n">
        <f aca="false">AH35+AH36</f>
        <v>315100</v>
      </c>
      <c r="AI37" s="50" t="n">
        <f aca="false">AI35+AI36</f>
        <v>277288</v>
      </c>
      <c r="AJ37" s="51" t="n">
        <f aca="false">AJ35+AJ36</f>
        <v>37812</v>
      </c>
      <c r="AK37" s="77" t="n">
        <f aca="false">AH37+AB37+V37</f>
        <v>1482468.18448</v>
      </c>
      <c r="AL37" s="13"/>
    </row>
    <row r="38" s="69" customFormat="true" ht="27.75" hidden="false" customHeight="true" outlineLevel="0" collapsed="false">
      <c r="A38" s="52" t="s">
        <v>58</v>
      </c>
      <c r="B38" s="52"/>
      <c r="C38" s="82"/>
      <c r="D38" s="82"/>
      <c r="E38" s="82"/>
      <c r="F38" s="82"/>
      <c r="G38" s="50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7"/>
      <c r="V38" s="57"/>
      <c r="W38" s="57"/>
      <c r="X38" s="57"/>
      <c r="Y38" s="57"/>
      <c r="Z38" s="57"/>
      <c r="AA38" s="55"/>
      <c r="AB38" s="57"/>
      <c r="AC38" s="57"/>
      <c r="AD38" s="57"/>
      <c r="AE38" s="57"/>
      <c r="AF38" s="57"/>
      <c r="AG38" s="57"/>
      <c r="AH38" s="83"/>
      <c r="AI38" s="57"/>
      <c r="AJ38" s="80"/>
      <c r="AK38" s="13"/>
      <c r="AL38" s="13"/>
    </row>
    <row r="39" s="69" customFormat="true" ht="40.4" hidden="false" customHeight="true" outlineLevel="0" collapsed="false">
      <c r="A39" s="54" t="n">
        <v>9</v>
      </c>
      <c r="B39" s="79" t="s">
        <v>59</v>
      </c>
      <c r="C39" s="55" t="s">
        <v>50</v>
      </c>
      <c r="D39" s="55"/>
      <c r="E39" s="86" t="n">
        <f aca="false">42.63-37</f>
        <v>5.63</v>
      </c>
      <c r="F39" s="86"/>
      <c r="G39" s="57" t="n">
        <v>141076.03742</v>
      </c>
      <c r="H39" s="84"/>
      <c r="I39" s="85"/>
      <c r="J39" s="85"/>
      <c r="K39" s="85"/>
      <c r="L39" s="90"/>
      <c r="M39" s="91"/>
      <c r="N39" s="85"/>
      <c r="O39" s="85"/>
      <c r="P39" s="56"/>
      <c r="Q39" s="85"/>
      <c r="R39" s="85"/>
      <c r="S39" s="85"/>
      <c r="T39" s="56" t="n">
        <f aca="false">E39</f>
        <v>5.63</v>
      </c>
      <c r="U39" s="57"/>
      <c r="V39" s="57" t="n">
        <f aca="false">G39</f>
        <v>141076.03742</v>
      </c>
      <c r="W39" s="57"/>
      <c r="X39" s="57" t="n">
        <f aca="false">V39</f>
        <v>141076.03742</v>
      </c>
      <c r="Y39" s="57"/>
      <c r="Z39" s="57"/>
      <c r="AA39" s="56"/>
      <c r="AB39" s="57"/>
      <c r="AC39" s="57"/>
      <c r="AD39" s="57"/>
      <c r="AE39" s="57"/>
      <c r="AF39" s="57"/>
      <c r="AG39" s="57"/>
      <c r="AH39" s="83"/>
      <c r="AI39" s="57"/>
      <c r="AJ39" s="80"/>
      <c r="AK39" s="13"/>
      <c r="AL39" s="13"/>
    </row>
    <row r="40" s="69" customFormat="true" ht="58" hidden="false" customHeight="true" outlineLevel="0" collapsed="false">
      <c r="A40" s="54" t="n">
        <v>10</v>
      </c>
      <c r="B40" s="79" t="s">
        <v>60</v>
      </c>
      <c r="C40" s="55" t="s">
        <v>31</v>
      </c>
      <c r="D40" s="55"/>
      <c r="E40" s="86" t="n">
        <f aca="false">4-0.015</f>
        <v>3.985</v>
      </c>
      <c r="F40" s="86"/>
      <c r="G40" s="57" t="n">
        <v>103944.8</v>
      </c>
      <c r="H40" s="84"/>
      <c r="I40" s="85"/>
      <c r="J40" s="85"/>
      <c r="K40" s="85"/>
      <c r="L40" s="90"/>
      <c r="M40" s="91"/>
      <c r="N40" s="85"/>
      <c r="O40" s="85"/>
      <c r="P40" s="56"/>
      <c r="Q40" s="85"/>
      <c r="R40" s="85"/>
      <c r="S40" s="85"/>
      <c r="T40" s="56"/>
      <c r="U40" s="57"/>
      <c r="V40" s="57"/>
      <c r="W40" s="57"/>
      <c r="X40" s="57"/>
      <c r="Y40" s="57"/>
      <c r="Z40" s="56" t="n">
        <f aca="false">E40</f>
        <v>3.985</v>
      </c>
      <c r="AA40" s="56"/>
      <c r="AB40" s="57" t="n">
        <f aca="false">80727.53*1.2*1.073+0.03237</f>
        <v>103944.799998</v>
      </c>
      <c r="AC40" s="57" t="n">
        <f aca="false">AB40*0.94</f>
        <v>97708.11199812</v>
      </c>
      <c r="AD40" s="57" t="n">
        <f aca="false">AB40-AC40</f>
        <v>6236.68799988</v>
      </c>
      <c r="AE40" s="57"/>
      <c r="AF40" s="57"/>
      <c r="AG40" s="57"/>
      <c r="AH40" s="83"/>
      <c r="AI40" s="57"/>
      <c r="AJ40" s="80"/>
      <c r="AK40" s="13"/>
      <c r="AL40" s="13"/>
    </row>
    <row r="41" s="69" customFormat="true" ht="73.55" hidden="false" customHeight="true" outlineLevel="0" collapsed="false">
      <c r="A41" s="54" t="n">
        <v>11</v>
      </c>
      <c r="B41" s="79" t="s">
        <v>61</v>
      </c>
      <c r="C41" s="55" t="s">
        <v>34</v>
      </c>
      <c r="D41" s="55"/>
      <c r="E41" s="86" t="n">
        <v>1.7</v>
      </c>
      <c r="F41" s="86"/>
      <c r="G41" s="57" t="n">
        <f aca="false">E41*30000</f>
        <v>51000</v>
      </c>
      <c r="H41" s="84"/>
      <c r="I41" s="85"/>
      <c r="J41" s="85"/>
      <c r="K41" s="85"/>
      <c r="L41" s="90"/>
      <c r="M41" s="91"/>
      <c r="N41" s="85"/>
      <c r="O41" s="85"/>
      <c r="P41" s="56"/>
      <c r="Q41" s="85"/>
      <c r="R41" s="85"/>
      <c r="S41" s="85"/>
      <c r="T41" s="56"/>
      <c r="U41" s="57" t="s">
        <v>48</v>
      </c>
      <c r="V41" s="57"/>
      <c r="W41" s="57"/>
      <c r="X41" s="57"/>
      <c r="Y41" s="57"/>
      <c r="Z41" s="56"/>
      <c r="AA41" s="56"/>
      <c r="AB41" s="57"/>
      <c r="AC41" s="57"/>
      <c r="AD41" s="57"/>
      <c r="AE41" s="57"/>
      <c r="AF41" s="56" t="n">
        <f aca="false">E41</f>
        <v>1.7</v>
      </c>
      <c r="AG41" s="57"/>
      <c r="AH41" s="83" t="n">
        <f aca="false">G41</f>
        <v>51000</v>
      </c>
      <c r="AI41" s="57" t="n">
        <f aca="false">AH41*0.88</f>
        <v>44880</v>
      </c>
      <c r="AJ41" s="80" t="n">
        <f aca="false">AH41-AI41</f>
        <v>6120</v>
      </c>
      <c r="AK41" s="13"/>
      <c r="AL41" s="13"/>
    </row>
    <row r="42" s="69" customFormat="true" ht="29.25" hidden="false" customHeight="true" outlineLevel="0" collapsed="false">
      <c r="A42" s="92"/>
      <c r="B42" s="79" t="s">
        <v>55</v>
      </c>
      <c r="C42" s="55"/>
      <c r="D42" s="55"/>
      <c r="E42" s="93" t="n">
        <f aca="false">SUM(E39:E41)</f>
        <v>11.315</v>
      </c>
      <c r="F42" s="57"/>
      <c r="G42" s="57" t="n">
        <f aca="false">SUM(G39:G41)</f>
        <v>296020.83742</v>
      </c>
      <c r="H42" s="84"/>
      <c r="I42" s="85"/>
      <c r="J42" s="85"/>
      <c r="K42" s="85"/>
      <c r="L42" s="90"/>
      <c r="M42" s="91"/>
      <c r="N42" s="85"/>
      <c r="O42" s="85"/>
      <c r="P42" s="56"/>
      <c r="Q42" s="85"/>
      <c r="R42" s="85"/>
      <c r="S42" s="85"/>
      <c r="T42" s="93" t="n">
        <f aca="false">SUM(T39:T39)</f>
        <v>5.63</v>
      </c>
      <c r="U42" s="86"/>
      <c r="V42" s="57" t="n">
        <f aca="false">SUM(V39:V39)</f>
        <v>141076.03742</v>
      </c>
      <c r="W42" s="57" t="n">
        <f aca="false">SUM(W39:W39)</f>
        <v>0</v>
      </c>
      <c r="X42" s="57" t="n">
        <f aca="false">SUM(X39:X39)</f>
        <v>141076.03742</v>
      </c>
      <c r="Y42" s="57"/>
      <c r="Z42" s="57" t="n">
        <f aca="false">SUM(Z40)</f>
        <v>3.985</v>
      </c>
      <c r="AA42" s="56"/>
      <c r="AB42" s="57" t="n">
        <f aca="false">AB40</f>
        <v>103944.799998</v>
      </c>
      <c r="AC42" s="57" t="n">
        <f aca="false">AC40</f>
        <v>97708.11199812</v>
      </c>
      <c r="AD42" s="57" t="n">
        <f aca="false">AD40</f>
        <v>6236.68799988</v>
      </c>
      <c r="AE42" s="57"/>
      <c r="AF42" s="57" t="n">
        <f aca="false">SUM(AF41)</f>
        <v>1.7</v>
      </c>
      <c r="AG42" s="57"/>
      <c r="AH42" s="83" t="n">
        <f aca="false">SUM(AH41)</f>
        <v>51000</v>
      </c>
      <c r="AI42" s="57" t="n">
        <f aca="false">SUM(AI41)</f>
        <v>44880</v>
      </c>
      <c r="AJ42" s="80" t="n">
        <f aca="false">SUM(AJ41)</f>
        <v>6120</v>
      </c>
      <c r="AK42" s="13"/>
      <c r="AL42" s="13"/>
    </row>
    <row r="43" s="69" customFormat="true" ht="26.25" hidden="false" customHeight="true" outlineLevel="0" collapsed="false">
      <c r="A43" s="92"/>
      <c r="B43" s="79" t="s">
        <v>56</v>
      </c>
      <c r="C43" s="55"/>
      <c r="D43" s="55"/>
      <c r="E43" s="93" t="n">
        <f aca="false">T43+Z43</f>
        <v>15.535</v>
      </c>
      <c r="F43" s="86"/>
      <c r="G43" s="57" t="n">
        <f aca="false">V43+AB43</f>
        <v>123647.5</v>
      </c>
      <c r="H43" s="84"/>
      <c r="I43" s="85"/>
      <c r="J43" s="85"/>
      <c r="K43" s="85"/>
      <c r="L43" s="90"/>
      <c r="M43" s="91"/>
      <c r="N43" s="85"/>
      <c r="O43" s="85"/>
      <c r="P43" s="56"/>
      <c r="Q43" s="85"/>
      <c r="R43" s="85"/>
      <c r="S43" s="85"/>
      <c r="T43" s="93" t="n">
        <v>10.148</v>
      </c>
      <c r="U43" s="86"/>
      <c r="V43" s="57" t="n">
        <v>76863</v>
      </c>
      <c r="W43" s="57"/>
      <c r="X43" s="57" t="n">
        <f aca="false">V43</f>
        <v>76863</v>
      </c>
      <c r="Y43" s="57"/>
      <c r="Z43" s="94" t="n">
        <v>5.387</v>
      </c>
      <c r="AA43" s="56"/>
      <c r="AB43" s="57" t="n">
        <v>46784.5</v>
      </c>
      <c r="AC43" s="56"/>
      <c r="AD43" s="57" t="n">
        <f aca="false">AB43</f>
        <v>46784.5</v>
      </c>
      <c r="AE43" s="57"/>
      <c r="AF43" s="57"/>
      <c r="AG43" s="57"/>
      <c r="AH43" s="83"/>
      <c r="AI43" s="57"/>
      <c r="AJ43" s="80"/>
      <c r="AK43" s="13"/>
      <c r="AL43" s="13"/>
    </row>
    <row r="44" s="69" customFormat="true" ht="33" hidden="false" customHeight="true" outlineLevel="0" collapsed="false">
      <c r="A44" s="81" t="s">
        <v>62</v>
      </c>
      <c r="B44" s="81"/>
      <c r="C44" s="55"/>
      <c r="D44" s="55"/>
      <c r="E44" s="89" t="n">
        <f aca="false">SUM(E42:E43)</f>
        <v>26.85</v>
      </c>
      <c r="F44" s="89"/>
      <c r="G44" s="50" t="n">
        <f aca="false">SUM(G42:G43)</f>
        <v>419668.33742</v>
      </c>
      <c r="H44" s="89" t="e">
        <f aca="false">SUM(#REF!)</f>
        <v>#REF!</v>
      </c>
      <c r="I44" s="71" t="e">
        <f aca="false">SUM(#REF!)</f>
        <v>#REF!</v>
      </c>
      <c r="J44" s="71" t="e">
        <f aca="false">SUM(#REF!)</f>
        <v>#REF!</v>
      </c>
      <c r="K44" s="71"/>
      <c r="L44" s="89" t="e">
        <f aca="false">SUM(#REF!)</f>
        <v>#REF!</v>
      </c>
      <c r="M44" s="71" t="e">
        <f aca="false">SUM(#REF!)</f>
        <v>#REF!</v>
      </c>
      <c r="N44" s="71" t="e">
        <f aca="false">SUM(#REF!)</f>
        <v>#REF!</v>
      </c>
      <c r="O44" s="71" t="e">
        <f aca="false">SUM(#REF!)</f>
        <v>#REF!</v>
      </c>
      <c r="P44" s="95" t="e">
        <f aca="false">SUM(#REF!)</f>
        <v>#REF!</v>
      </c>
      <c r="Q44" s="71" t="e">
        <f aca="false">SUM(#REF!)</f>
        <v>#REF!</v>
      </c>
      <c r="R44" s="71" t="e">
        <f aca="false">SUM(#REF!)</f>
        <v>#REF!</v>
      </c>
      <c r="S44" s="71"/>
      <c r="T44" s="89" t="n">
        <f aca="false">SUM(T42:T43)</f>
        <v>15.778</v>
      </c>
      <c r="U44" s="89"/>
      <c r="V44" s="50" t="n">
        <f aca="false">SUM(V42:V43)</f>
        <v>217939.03742</v>
      </c>
      <c r="W44" s="50" t="n">
        <f aca="false">SUM(W42:W43)</f>
        <v>0</v>
      </c>
      <c r="X44" s="50" t="n">
        <f aca="false">SUM(X42:X43)</f>
        <v>217939.03742</v>
      </c>
      <c r="Y44" s="50"/>
      <c r="Z44" s="50" t="n">
        <f aca="false">SUM(Z42:Z43)</f>
        <v>9.372</v>
      </c>
      <c r="AA44" s="89"/>
      <c r="AB44" s="50" t="n">
        <f aca="false">SUM(AB42:AB43)</f>
        <v>150729.299998</v>
      </c>
      <c r="AC44" s="50" t="n">
        <f aca="false">SUM(AC42:AC43)</f>
        <v>97708.11199812</v>
      </c>
      <c r="AD44" s="50" t="n">
        <f aca="false">SUM(AD42:AD43)</f>
        <v>53021.18799988</v>
      </c>
      <c r="AE44" s="50"/>
      <c r="AF44" s="50" t="n">
        <f aca="false">SUM(AF42:AF43)</f>
        <v>1.7</v>
      </c>
      <c r="AG44" s="89"/>
      <c r="AH44" s="50" t="n">
        <f aca="false">SUM(AH42:AH43)</f>
        <v>51000</v>
      </c>
      <c r="AI44" s="50" t="n">
        <f aca="false">SUM(AI42:AI43)</f>
        <v>44880</v>
      </c>
      <c r="AJ44" s="51" t="n">
        <f aca="false">SUM(AJ42:AJ43)</f>
        <v>6120</v>
      </c>
      <c r="AK44" s="13"/>
      <c r="AL44" s="13"/>
    </row>
    <row r="45" s="69" customFormat="true" ht="37.5" hidden="false" customHeight="true" outlineLevel="0" collapsed="false">
      <c r="A45" s="52" t="s">
        <v>63</v>
      </c>
      <c r="B45" s="52"/>
      <c r="C45" s="82"/>
      <c r="D45" s="82"/>
      <c r="E45" s="82"/>
      <c r="F45" s="82"/>
      <c r="G45" s="50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7"/>
      <c r="V45" s="57"/>
      <c r="W45" s="57"/>
      <c r="X45" s="57"/>
      <c r="Y45" s="57"/>
      <c r="Z45" s="57"/>
      <c r="AA45" s="55"/>
      <c r="AB45" s="57"/>
      <c r="AC45" s="57"/>
      <c r="AD45" s="57"/>
      <c r="AE45" s="57"/>
      <c r="AF45" s="57"/>
      <c r="AG45" s="57"/>
      <c r="AH45" s="83"/>
      <c r="AI45" s="57"/>
      <c r="AJ45" s="80"/>
      <c r="AK45" s="13"/>
      <c r="AL45" s="13"/>
    </row>
    <row r="46" s="69" customFormat="true" ht="43.5" hidden="true" customHeight="true" outlineLevel="0" collapsed="false">
      <c r="A46" s="92"/>
      <c r="B46" s="79" t="s">
        <v>64</v>
      </c>
      <c r="C46" s="55" t="s">
        <v>34</v>
      </c>
      <c r="D46" s="55"/>
      <c r="E46" s="86"/>
      <c r="F46" s="86"/>
      <c r="G46" s="57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7"/>
      <c r="V46" s="57"/>
      <c r="W46" s="57"/>
      <c r="X46" s="57"/>
      <c r="Y46" s="57"/>
      <c r="Z46" s="57"/>
      <c r="AA46" s="61"/>
      <c r="AB46" s="96"/>
      <c r="AC46" s="96"/>
      <c r="AD46" s="96"/>
      <c r="AE46" s="96"/>
      <c r="AF46" s="96"/>
      <c r="AG46" s="57"/>
      <c r="AH46" s="83"/>
      <c r="AI46" s="57"/>
      <c r="AJ46" s="80"/>
      <c r="AK46" s="13"/>
      <c r="AL46" s="13"/>
    </row>
    <row r="47" s="69" customFormat="true" ht="45" hidden="true" customHeight="true" outlineLevel="0" collapsed="false">
      <c r="A47" s="92" t="n">
        <v>10</v>
      </c>
      <c r="B47" s="79" t="s">
        <v>65</v>
      </c>
      <c r="C47" s="55" t="s">
        <v>31</v>
      </c>
      <c r="D47" s="55"/>
      <c r="E47" s="56"/>
      <c r="F47" s="56"/>
      <c r="G47" s="57"/>
      <c r="H47" s="84"/>
      <c r="I47" s="85"/>
      <c r="J47" s="85"/>
      <c r="K47" s="85"/>
      <c r="L47" s="56"/>
      <c r="M47" s="85"/>
      <c r="N47" s="85"/>
      <c r="O47" s="85"/>
      <c r="P47" s="56"/>
      <c r="Q47" s="85"/>
      <c r="R47" s="85"/>
      <c r="S47" s="85"/>
      <c r="T47" s="56"/>
      <c r="U47" s="57"/>
      <c r="V47" s="57"/>
      <c r="W47" s="57"/>
      <c r="X47" s="57"/>
      <c r="Y47" s="57"/>
      <c r="Z47" s="57"/>
      <c r="AA47" s="56"/>
      <c r="AB47" s="57"/>
      <c r="AC47" s="57"/>
      <c r="AD47" s="57"/>
      <c r="AE47" s="57"/>
      <c r="AF47" s="57"/>
      <c r="AG47" s="57"/>
      <c r="AH47" s="83"/>
      <c r="AI47" s="57"/>
      <c r="AJ47" s="80"/>
      <c r="AK47" s="13"/>
      <c r="AL47" s="13"/>
    </row>
    <row r="48" s="69" customFormat="true" ht="45" hidden="false" customHeight="true" outlineLevel="0" collapsed="false">
      <c r="A48" s="54" t="n">
        <v>12</v>
      </c>
      <c r="B48" s="79" t="s">
        <v>66</v>
      </c>
      <c r="C48" s="55" t="s">
        <v>31</v>
      </c>
      <c r="D48" s="55"/>
      <c r="E48" s="86" t="n">
        <f aca="false">0.9-0.032</f>
        <v>0.868</v>
      </c>
      <c r="F48" s="56"/>
      <c r="G48" s="57" t="n">
        <v>22654.12303</v>
      </c>
      <c r="H48" s="84"/>
      <c r="I48" s="85"/>
      <c r="J48" s="85"/>
      <c r="K48" s="85"/>
      <c r="L48" s="56"/>
      <c r="M48" s="85"/>
      <c r="N48" s="85"/>
      <c r="O48" s="85"/>
      <c r="P48" s="56"/>
      <c r="Q48" s="85"/>
      <c r="R48" s="85"/>
      <c r="S48" s="85"/>
      <c r="T48" s="56"/>
      <c r="U48" s="57"/>
      <c r="V48" s="57"/>
      <c r="W48" s="57"/>
      <c r="X48" s="57"/>
      <c r="Y48" s="57"/>
      <c r="Z48" s="86" t="n">
        <f aca="false">E48</f>
        <v>0.868</v>
      </c>
      <c r="AA48" s="56"/>
      <c r="AB48" s="57" t="n">
        <f aca="false">G48</f>
        <v>22654.12303</v>
      </c>
      <c r="AC48" s="57" t="n">
        <f aca="false">AB48*0.94</f>
        <v>21294.8756482</v>
      </c>
      <c r="AD48" s="57" t="n">
        <f aca="false">AB48-AC48</f>
        <v>1359.2473818</v>
      </c>
      <c r="AE48" s="57"/>
      <c r="AF48" s="57"/>
      <c r="AG48" s="57" t="s">
        <v>67</v>
      </c>
      <c r="AH48" s="83" t="s">
        <v>52</v>
      </c>
      <c r="AI48" s="57"/>
      <c r="AJ48" s="80"/>
      <c r="AK48" s="13"/>
      <c r="AL48" s="13"/>
    </row>
    <row r="49" s="69" customFormat="true" ht="66" hidden="false" customHeight="true" outlineLevel="0" collapsed="false">
      <c r="A49" s="54" t="n">
        <v>13</v>
      </c>
      <c r="B49" s="79" t="s">
        <v>68</v>
      </c>
      <c r="C49" s="55" t="s">
        <v>31</v>
      </c>
      <c r="D49" s="55"/>
      <c r="E49" s="86" t="n">
        <v>4.764</v>
      </c>
      <c r="F49" s="56"/>
      <c r="G49" s="57" t="n">
        <v>139832.94664</v>
      </c>
      <c r="H49" s="84"/>
      <c r="I49" s="85"/>
      <c r="J49" s="85"/>
      <c r="K49" s="85"/>
      <c r="L49" s="56"/>
      <c r="M49" s="85"/>
      <c r="N49" s="85"/>
      <c r="O49" s="85"/>
      <c r="P49" s="56"/>
      <c r="Q49" s="85"/>
      <c r="R49" s="85"/>
      <c r="S49" s="85"/>
      <c r="T49" s="56"/>
      <c r="U49" s="57"/>
      <c r="V49" s="57"/>
      <c r="W49" s="57"/>
      <c r="X49" s="57"/>
      <c r="Y49" s="57"/>
      <c r="Z49" s="86" t="n">
        <f aca="false">E49</f>
        <v>4.764</v>
      </c>
      <c r="AA49" s="56"/>
      <c r="AB49" s="57" t="n">
        <f aca="false">G49</f>
        <v>139832.94664</v>
      </c>
      <c r="AC49" s="57" t="n">
        <f aca="false">AB49*0.94</f>
        <v>131442.9698416</v>
      </c>
      <c r="AD49" s="57" t="n">
        <f aca="false">AB49-AC49</f>
        <v>8389.97679840002</v>
      </c>
      <c r="AE49" s="57"/>
      <c r="AF49" s="57"/>
      <c r="AG49" s="57"/>
      <c r="AH49" s="83"/>
      <c r="AI49" s="57"/>
      <c r="AJ49" s="80"/>
      <c r="AK49" s="13" t="s">
        <v>69</v>
      </c>
      <c r="AL49" s="13"/>
    </row>
    <row r="50" s="69" customFormat="true" ht="42" hidden="false" customHeight="true" outlineLevel="0" collapsed="false">
      <c r="A50" s="54" t="n">
        <v>14</v>
      </c>
      <c r="B50" s="79" t="s">
        <v>70</v>
      </c>
      <c r="C50" s="55" t="s">
        <v>34</v>
      </c>
      <c r="D50" s="55"/>
      <c r="E50" s="86" t="n">
        <v>1.6</v>
      </c>
      <c r="F50" s="56"/>
      <c r="G50" s="57" t="n">
        <f aca="false">E50*30000</f>
        <v>48000</v>
      </c>
      <c r="H50" s="84"/>
      <c r="I50" s="85"/>
      <c r="J50" s="85"/>
      <c r="K50" s="85"/>
      <c r="L50" s="56"/>
      <c r="M50" s="85"/>
      <c r="N50" s="85"/>
      <c r="O50" s="85"/>
      <c r="P50" s="56"/>
      <c r="Q50" s="85"/>
      <c r="R50" s="85"/>
      <c r="S50" s="85"/>
      <c r="T50" s="56"/>
      <c r="U50" s="57"/>
      <c r="V50" s="57"/>
      <c r="W50" s="57"/>
      <c r="X50" s="57"/>
      <c r="Y50" s="57"/>
      <c r="Z50" s="86"/>
      <c r="AA50" s="56"/>
      <c r="AB50" s="57"/>
      <c r="AC50" s="57"/>
      <c r="AD50" s="57"/>
      <c r="AE50" s="57"/>
      <c r="AF50" s="56" t="n">
        <f aca="false">E50</f>
        <v>1.6</v>
      </c>
      <c r="AG50" s="57"/>
      <c r="AH50" s="83" t="n">
        <f aca="false">G50</f>
        <v>48000</v>
      </c>
      <c r="AI50" s="57" t="n">
        <f aca="false">AH50*0.88</f>
        <v>42240</v>
      </c>
      <c r="AJ50" s="80" t="n">
        <f aca="false">AH50-AI50</f>
        <v>5760</v>
      </c>
      <c r="AK50" s="13"/>
      <c r="AL50" s="13"/>
    </row>
    <row r="51" s="69" customFormat="true" ht="42.75" hidden="false" customHeight="true" outlineLevel="0" collapsed="false">
      <c r="A51" s="54" t="n">
        <v>15</v>
      </c>
      <c r="B51" s="79" t="s">
        <v>71</v>
      </c>
      <c r="C51" s="55" t="s">
        <v>31</v>
      </c>
      <c r="D51" s="55"/>
      <c r="E51" s="86" t="n">
        <v>3.9</v>
      </c>
      <c r="F51" s="56"/>
      <c r="G51" s="57" t="n">
        <f aca="false">E51*30000</f>
        <v>117000</v>
      </c>
      <c r="H51" s="84"/>
      <c r="I51" s="85"/>
      <c r="J51" s="85"/>
      <c r="K51" s="85"/>
      <c r="L51" s="56"/>
      <c r="M51" s="85"/>
      <c r="N51" s="85"/>
      <c r="O51" s="85"/>
      <c r="P51" s="56"/>
      <c r="Q51" s="85"/>
      <c r="R51" s="85"/>
      <c r="S51" s="85"/>
      <c r="T51" s="56"/>
      <c r="U51" s="57"/>
      <c r="V51" s="57"/>
      <c r="W51" s="57"/>
      <c r="X51" s="57"/>
      <c r="Y51" s="57"/>
      <c r="Z51" s="86"/>
      <c r="AA51" s="56"/>
      <c r="AB51" s="57"/>
      <c r="AC51" s="57"/>
      <c r="AD51" s="57"/>
      <c r="AE51" s="57"/>
      <c r="AF51" s="56" t="n">
        <f aca="false">E51</f>
        <v>3.9</v>
      </c>
      <c r="AG51" s="57"/>
      <c r="AH51" s="83" t="n">
        <f aca="false">G51</f>
        <v>117000</v>
      </c>
      <c r="AI51" s="57" t="n">
        <f aca="false">AH51*0.88</f>
        <v>102960</v>
      </c>
      <c r="AJ51" s="80" t="n">
        <f aca="false">AH51-AI51</f>
        <v>14040</v>
      </c>
      <c r="AK51" s="13"/>
      <c r="AL51" s="13"/>
    </row>
    <row r="52" s="69" customFormat="true" ht="39" hidden="false" customHeight="true" outlineLevel="0" collapsed="false">
      <c r="A52" s="81" t="s">
        <v>72</v>
      </c>
      <c r="B52" s="81"/>
      <c r="C52" s="81"/>
      <c r="D52" s="55"/>
      <c r="E52" s="89" t="n">
        <f aca="false">SUM(E48:E51)</f>
        <v>11.132</v>
      </c>
      <c r="F52" s="57"/>
      <c r="G52" s="50" t="n">
        <f aca="false">SUM(G48:G51)</f>
        <v>327487.06967</v>
      </c>
      <c r="H52" s="89" t="e">
        <f aca="false">SUM(#REF!)</f>
        <v>#REF!</v>
      </c>
      <c r="I52" s="71" t="e">
        <f aca="false">SUM(#REF!)</f>
        <v>#REF!</v>
      </c>
      <c r="J52" s="71" t="e">
        <f aca="false">SUM(#REF!)</f>
        <v>#REF!</v>
      </c>
      <c r="K52" s="71"/>
      <c r="L52" s="89" t="e">
        <f aca="false">SUM(#REF!)</f>
        <v>#REF!</v>
      </c>
      <c r="M52" s="71"/>
      <c r="N52" s="71"/>
      <c r="O52" s="71"/>
      <c r="P52" s="89" t="n">
        <f aca="false">SUM(P47:P47)</f>
        <v>0</v>
      </c>
      <c r="Q52" s="71" t="n">
        <f aca="false">SUM(Q47:Q47)</f>
        <v>0</v>
      </c>
      <c r="R52" s="71" t="n">
        <f aca="false">SUM(R47:R47)</f>
        <v>0</v>
      </c>
      <c r="S52" s="71"/>
      <c r="T52" s="89"/>
      <c r="U52" s="89"/>
      <c r="V52" s="50"/>
      <c r="W52" s="50"/>
      <c r="X52" s="50"/>
      <c r="Y52" s="50"/>
      <c r="Z52" s="89" t="n">
        <f aca="false">SUM(Z48:Z49)</f>
        <v>5.632</v>
      </c>
      <c r="AA52" s="89"/>
      <c r="AB52" s="50" t="n">
        <f aca="false">SUM(AB48:AB49)</f>
        <v>162487.06967</v>
      </c>
      <c r="AC52" s="50" t="n">
        <f aca="false">SUM(AC48:AC49)</f>
        <v>152737.8454898</v>
      </c>
      <c r="AD52" s="50" t="n">
        <f aca="false">SUM(AD48:AD49)</f>
        <v>9749.22418020002</v>
      </c>
      <c r="AE52" s="50"/>
      <c r="AF52" s="89" t="n">
        <f aca="false">SUM(AF50:AF51)</f>
        <v>5.5</v>
      </c>
      <c r="AG52" s="89"/>
      <c r="AH52" s="50" t="n">
        <f aca="false">SUM(AH50:AH51)</f>
        <v>165000</v>
      </c>
      <c r="AI52" s="50" t="n">
        <f aca="false">SUM(AI50:AI51)</f>
        <v>145200</v>
      </c>
      <c r="AJ52" s="51" t="n">
        <f aca="false">SUM(AJ50:AJ51)</f>
        <v>19800</v>
      </c>
      <c r="AK52" s="13"/>
      <c r="AL52" s="13"/>
    </row>
    <row r="53" s="69" customFormat="true" ht="27" hidden="false" customHeight="true" outlineLevel="0" collapsed="false">
      <c r="A53" s="52" t="s">
        <v>73</v>
      </c>
      <c r="B53" s="52"/>
      <c r="C53" s="82"/>
      <c r="D53" s="82"/>
      <c r="E53" s="82"/>
      <c r="F53" s="82"/>
      <c r="G53" s="50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7"/>
      <c r="V53" s="57"/>
      <c r="W53" s="57"/>
      <c r="X53" s="57"/>
      <c r="Y53" s="57"/>
      <c r="Z53" s="57"/>
      <c r="AA53" s="55"/>
      <c r="AB53" s="57"/>
      <c r="AC53" s="57"/>
      <c r="AD53" s="57"/>
      <c r="AE53" s="57"/>
      <c r="AF53" s="57"/>
      <c r="AG53" s="57"/>
      <c r="AH53" s="83"/>
      <c r="AI53" s="57"/>
      <c r="AJ53" s="80"/>
      <c r="AK53" s="13"/>
      <c r="AL53" s="13"/>
    </row>
    <row r="54" s="69" customFormat="true" ht="46.5" hidden="false" customHeight="true" outlineLevel="0" collapsed="false">
      <c r="A54" s="54" t="n">
        <v>16</v>
      </c>
      <c r="B54" s="97" t="s">
        <v>74</v>
      </c>
      <c r="C54" s="55" t="s">
        <v>75</v>
      </c>
      <c r="D54" s="55"/>
      <c r="E54" s="84" t="n">
        <v>3</v>
      </c>
      <c r="F54" s="84"/>
      <c r="G54" s="57" t="n">
        <v>77939.76592</v>
      </c>
      <c r="H54" s="84"/>
      <c r="I54" s="85"/>
      <c r="J54" s="85"/>
      <c r="K54" s="85"/>
      <c r="L54" s="90"/>
      <c r="M54" s="91"/>
      <c r="N54" s="85"/>
      <c r="O54" s="85"/>
      <c r="P54" s="56"/>
      <c r="Q54" s="85"/>
      <c r="R54" s="85"/>
      <c r="S54" s="85"/>
      <c r="T54" s="56"/>
      <c r="U54" s="57"/>
      <c r="V54" s="57"/>
      <c r="W54" s="57"/>
      <c r="X54" s="57"/>
      <c r="Y54" s="57"/>
      <c r="Z54" s="84" t="n">
        <v>3</v>
      </c>
      <c r="AA54" s="56"/>
      <c r="AB54" s="57" t="n">
        <f aca="false">G54</f>
        <v>77939.76592</v>
      </c>
      <c r="AC54" s="57" t="n">
        <f aca="false">AB54*0.94</f>
        <v>73263.3799648</v>
      </c>
      <c r="AD54" s="57" t="n">
        <f aca="false">AB54-AC54</f>
        <v>4676.38595520001</v>
      </c>
      <c r="AE54" s="57"/>
      <c r="AF54" s="57"/>
      <c r="AG54" s="57"/>
      <c r="AH54" s="83"/>
      <c r="AI54" s="57"/>
      <c r="AJ54" s="80"/>
      <c r="AK54" s="13"/>
      <c r="AL54" s="13"/>
    </row>
    <row r="55" s="69" customFormat="true" ht="46.5" hidden="false" customHeight="true" outlineLevel="0" collapsed="false">
      <c r="A55" s="54" t="n">
        <v>17</v>
      </c>
      <c r="B55" s="97" t="s">
        <v>76</v>
      </c>
      <c r="C55" s="55" t="s">
        <v>31</v>
      </c>
      <c r="D55" s="55"/>
      <c r="E55" s="84" t="n">
        <v>7</v>
      </c>
      <c r="F55" s="84"/>
      <c r="G55" s="57" t="n">
        <f aca="false">E55*30000</f>
        <v>210000</v>
      </c>
      <c r="H55" s="84"/>
      <c r="I55" s="85"/>
      <c r="J55" s="85"/>
      <c r="K55" s="85"/>
      <c r="L55" s="90"/>
      <c r="M55" s="91"/>
      <c r="N55" s="85"/>
      <c r="O55" s="85"/>
      <c r="P55" s="56"/>
      <c r="Q55" s="85"/>
      <c r="R55" s="85"/>
      <c r="S55" s="85"/>
      <c r="T55" s="56"/>
      <c r="U55" s="57"/>
      <c r="V55" s="57"/>
      <c r="W55" s="57"/>
      <c r="X55" s="57"/>
      <c r="Y55" s="57"/>
      <c r="Z55" s="84"/>
      <c r="AA55" s="56"/>
      <c r="AB55" s="57"/>
      <c r="AC55" s="57"/>
      <c r="AD55" s="57"/>
      <c r="AE55" s="57"/>
      <c r="AF55" s="56" t="n">
        <f aca="false">E55</f>
        <v>7</v>
      </c>
      <c r="AG55" s="57"/>
      <c r="AH55" s="83" t="n">
        <f aca="false">G55</f>
        <v>210000</v>
      </c>
      <c r="AI55" s="57" t="n">
        <f aca="false">AH55*0.88</f>
        <v>184800</v>
      </c>
      <c r="AJ55" s="80" t="n">
        <f aca="false">AH55-AI55</f>
        <v>25200</v>
      </c>
      <c r="AK55" s="13"/>
      <c r="AL55" s="13"/>
    </row>
    <row r="56" s="69" customFormat="true" ht="30" hidden="false" customHeight="true" outlineLevel="0" collapsed="false">
      <c r="A56" s="81" t="s">
        <v>77</v>
      </c>
      <c r="B56" s="81"/>
      <c r="C56" s="55"/>
      <c r="D56" s="55"/>
      <c r="E56" s="89" t="n">
        <f aca="false">SUM(E54:E55)</f>
        <v>10</v>
      </c>
      <c r="F56" s="57"/>
      <c r="G56" s="50" t="n">
        <f aca="false">SUM(G54:G55)</f>
        <v>287939.76592</v>
      </c>
      <c r="H56" s="89" t="e">
        <f aca="false">SUM(#REF!)</f>
        <v>#REF!</v>
      </c>
      <c r="I56" s="71" t="e">
        <f aca="false">SUM(#REF!)</f>
        <v>#REF!</v>
      </c>
      <c r="J56" s="71" t="e">
        <f aca="false">SUM(#REF!)</f>
        <v>#REF!</v>
      </c>
      <c r="K56" s="71"/>
      <c r="L56" s="89" t="e">
        <f aca="false">SUM(#REF!)</f>
        <v>#REF!</v>
      </c>
      <c r="M56" s="71" t="e">
        <f aca="false">SUM(#REF!)</f>
        <v>#REF!</v>
      </c>
      <c r="N56" s="71" t="e">
        <f aca="false">SUM(#REF!)</f>
        <v>#REF!</v>
      </c>
      <c r="O56" s="71"/>
      <c r="P56" s="89" t="e">
        <f aca="false">SUM(#REF!)</f>
        <v>#REF!</v>
      </c>
      <c r="Q56" s="71" t="e">
        <f aca="false">SUM(#REF!)</f>
        <v>#REF!</v>
      </c>
      <c r="R56" s="71" t="e">
        <f aca="false">SUM(#REF!)</f>
        <v>#REF!</v>
      </c>
      <c r="S56" s="71"/>
      <c r="T56" s="89"/>
      <c r="U56" s="89"/>
      <c r="V56" s="50"/>
      <c r="W56" s="50"/>
      <c r="X56" s="50"/>
      <c r="Y56" s="50"/>
      <c r="Z56" s="89" t="n">
        <f aca="false">SUM(Z54:Z54)</f>
        <v>3</v>
      </c>
      <c r="AA56" s="89"/>
      <c r="AB56" s="50" t="n">
        <f aca="false">SUM(AB54:AB54)</f>
        <v>77939.76592</v>
      </c>
      <c r="AC56" s="50" t="n">
        <f aca="false">SUM(AC54:AC54)</f>
        <v>73263.3799648</v>
      </c>
      <c r="AD56" s="50" t="n">
        <f aca="false">SUM(AD54:AD54)</f>
        <v>4676.38595520001</v>
      </c>
      <c r="AE56" s="50"/>
      <c r="AF56" s="50" t="n">
        <f aca="false">SUM(AF55)</f>
        <v>7</v>
      </c>
      <c r="AG56" s="50"/>
      <c r="AH56" s="73" t="n">
        <f aca="false">SUM(AH55)</f>
        <v>210000</v>
      </c>
      <c r="AI56" s="50" t="n">
        <f aca="false">SUM(AI55)</f>
        <v>184800</v>
      </c>
      <c r="AJ56" s="51" t="n">
        <f aca="false">SUM(AJ55)</f>
        <v>25200</v>
      </c>
      <c r="AK56" s="13"/>
      <c r="AL56" s="13"/>
    </row>
    <row r="57" s="69" customFormat="true" ht="30.75" hidden="false" customHeight="true" outlineLevel="0" collapsed="false">
      <c r="A57" s="52" t="s">
        <v>78</v>
      </c>
      <c r="B57" s="52"/>
      <c r="C57" s="82"/>
      <c r="D57" s="82"/>
      <c r="E57" s="82"/>
      <c r="F57" s="82"/>
      <c r="G57" s="50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7"/>
      <c r="V57" s="57"/>
      <c r="W57" s="57"/>
      <c r="X57" s="57"/>
      <c r="Y57" s="57"/>
      <c r="Z57" s="57"/>
      <c r="AA57" s="55"/>
      <c r="AB57" s="57"/>
      <c r="AC57" s="57"/>
      <c r="AD57" s="57"/>
      <c r="AE57" s="57"/>
      <c r="AF57" s="57"/>
      <c r="AG57" s="57"/>
      <c r="AH57" s="83"/>
      <c r="AI57" s="57"/>
      <c r="AJ57" s="80"/>
      <c r="AK57" s="13"/>
      <c r="AL57" s="13"/>
    </row>
    <row r="58" s="69" customFormat="true" ht="49.5" hidden="true" customHeight="true" outlineLevel="0" collapsed="false">
      <c r="A58" s="92" t="n">
        <v>19</v>
      </c>
      <c r="B58" s="97" t="s">
        <v>79</v>
      </c>
      <c r="C58" s="55" t="s">
        <v>31</v>
      </c>
      <c r="D58" s="55"/>
      <c r="E58" s="61"/>
      <c r="F58" s="61"/>
      <c r="G58" s="57"/>
      <c r="H58" s="84"/>
      <c r="I58" s="85"/>
      <c r="J58" s="85"/>
      <c r="K58" s="85"/>
      <c r="L58" s="90"/>
      <c r="M58" s="91"/>
      <c r="N58" s="85"/>
      <c r="O58" s="85"/>
      <c r="P58" s="56"/>
      <c r="Q58" s="85"/>
      <c r="R58" s="85"/>
      <c r="S58" s="85"/>
      <c r="T58" s="61"/>
      <c r="U58" s="57"/>
      <c r="V58" s="57"/>
      <c r="W58" s="57"/>
      <c r="X58" s="57"/>
      <c r="Y58" s="57"/>
      <c r="Z58" s="57"/>
      <c r="AA58" s="56"/>
      <c r="AB58" s="57"/>
      <c r="AC58" s="57"/>
      <c r="AD58" s="57"/>
      <c r="AE58" s="57"/>
      <c r="AF58" s="57"/>
      <c r="AG58" s="57"/>
      <c r="AH58" s="83"/>
      <c r="AI58" s="57"/>
      <c r="AJ58" s="80"/>
      <c r="AK58" s="13"/>
      <c r="AL58" s="13"/>
    </row>
    <row r="59" s="69" customFormat="true" ht="32.25" hidden="false" customHeight="true" outlineLevel="0" collapsed="false">
      <c r="A59" s="54" t="n">
        <v>18</v>
      </c>
      <c r="B59" s="97" t="s">
        <v>80</v>
      </c>
      <c r="C59" s="55" t="s">
        <v>31</v>
      </c>
      <c r="D59" s="55"/>
      <c r="E59" s="61" t="n">
        <v>3.6</v>
      </c>
      <c r="F59" s="61"/>
      <c r="G59" s="57" t="n">
        <v>89465.62694</v>
      </c>
      <c r="H59" s="84"/>
      <c r="I59" s="85"/>
      <c r="J59" s="85"/>
      <c r="K59" s="85"/>
      <c r="L59" s="90"/>
      <c r="M59" s="91"/>
      <c r="N59" s="85"/>
      <c r="O59" s="85"/>
      <c r="P59" s="56"/>
      <c r="Q59" s="85"/>
      <c r="R59" s="85"/>
      <c r="S59" s="85"/>
      <c r="T59" s="56" t="n">
        <f aca="false">E59</f>
        <v>3.6</v>
      </c>
      <c r="U59" s="96"/>
      <c r="V59" s="96" t="n">
        <f aca="false">G59</f>
        <v>89465.62694</v>
      </c>
      <c r="W59" s="96"/>
      <c r="X59" s="96" t="n">
        <f aca="false">V59</f>
        <v>89465.62694</v>
      </c>
      <c r="Y59" s="96"/>
      <c r="Z59" s="57"/>
      <c r="AA59" s="56"/>
      <c r="AB59" s="96"/>
      <c r="AC59" s="96"/>
      <c r="AD59" s="96"/>
      <c r="AE59" s="96"/>
      <c r="AF59" s="96"/>
      <c r="AG59" s="57"/>
      <c r="AH59" s="83"/>
      <c r="AI59" s="57"/>
      <c r="AJ59" s="80"/>
      <c r="AK59" s="13"/>
      <c r="AL59" s="13"/>
    </row>
    <row r="60" s="69" customFormat="true" ht="43.5" hidden="true" customHeight="true" outlineLevel="0" collapsed="false">
      <c r="A60" s="54"/>
      <c r="B60" s="97" t="s">
        <v>81</v>
      </c>
      <c r="C60" s="55" t="s">
        <v>31</v>
      </c>
      <c r="D60" s="55"/>
      <c r="E60" s="61"/>
      <c r="F60" s="61"/>
      <c r="G60" s="57"/>
      <c r="H60" s="84"/>
      <c r="I60" s="85"/>
      <c r="J60" s="85"/>
      <c r="K60" s="85"/>
      <c r="L60" s="90"/>
      <c r="M60" s="91"/>
      <c r="N60" s="85"/>
      <c r="O60" s="85"/>
      <c r="P60" s="56"/>
      <c r="Q60" s="85"/>
      <c r="R60" s="85"/>
      <c r="S60" s="85"/>
      <c r="T60" s="61"/>
      <c r="U60" s="57"/>
      <c r="V60" s="57"/>
      <c r="W60" s="57"/>
      <c r="X60" s="57"/>
      <c r="Y60" s="57"/>
      <c r="Z60" s="57"/>
      <c r="AA60" s="56"/>
      <c r="AB60" s="96"/>
      <c r="AC60" s="96"/>
      <c r="AD60" s="96"/>
      <c r="AE60" s="96"/>
      <c r="AF60" s="96"/>
      <c r="AG60" s="57"/>
      <c r="AH60" s="83"/>
      <c r="AI60" s="57"/>
      <c r="AJ60" s="80"/>
      <c r="AK60" s="13"/>
      <c r="AL60" s="13"/>
    </row>
    <row r="61" s="69" customFormat="true" ht="63" hidden="true" customHeight="true" outlineLevel="0" collapsed="false">
      <c r="A61" s="54"/>
      <c r="B61" s="97" t="s">
        <v>82</v>
      </c>
      <c r="C61" s="55" t="s">
        <v>31</v>
      </c>
      <c r="D61" s="55"/>
      <c r="E61" s="61"/>
      <c r="F61" s="61"/>
      <c r="G61" s="57"/>
      <c r="H61" s="84"/>
      <c r="I61" s="85"/>
      <c r="J61" s="85"/>
      <c r="K61" s="85"/>
      <c r="L61" s="90"/>
      <c r="M61" s="91"/>
      <c r="N61" s="85"/>
      <c r="O61" s="85"/>
      <c r="P61" s="56"/>
      <c r="Q61" s="85"/>
      <c r="R61" s="85"/>
      <c r="S61" s="85"/>
      <c r="T61" s="61"/>
      <c r="U61" s="57"/>
      <c r="V61" s="57"/>
      <c r="W61" s="57"/>
      <c r="X61" s="57"/>
      <c r="Y61" s="57"/>
      <c r="Z61" s="57"/>
      <c r="AA61" s="56"/>
      <c r="AB61" s="57"/>
      <c r="AC61" s="57"/>
      <c r="AD61" s="57"/>
      <c r="AE61" s="57"/>
      <c r="AF61" s="57"/>
      <c r="AG61" s="57"/>
      <c r="AH61" s="83"/>
      <c r="AI61" s="57"/>
      <c r="AJ61" s="80"/>
      <c r="AK61" s="13"/>
      <c r="AL61" s="13"/>
    </row>
    <row r="62" s="69" customFormat="true" ht="63" hidden="true" customHeight="true" outlineLevel="0" collapsed="false">
      <c r="A62" s="54" t="n">
        <v>23</v>
      </c>
      <c r="B62" s="97" t="s">
        <v>83</v>
      </c>
      <c r="C62" s="55" t="s">
        <v>31</v>
      </c>
      <c r="D62" s="55"/>
      <c r="E62" s="61"/>
      <c r="F62" s="61"/>
      <c r="G62" s="57"/>
      <c r="H62" s="84"/>
      <c r="I62" s="85"/>
      <c r="J62" s="85"/>
      <c r="K62" s="85"/>
      <c r="L62" s="90"/>
      <c r="M62" s="91"/>
      <c r="N62" s="85"/>
      <c r="O62" s="85"/>
      <c r="P62" s="56"/>
      <c r="Q62" s="85"/>
      <c r="R62" s="85"/>
      <c r="S62" s="85"/>
      <c r="T62" s="61"/>
      <c r="U62" s="57"/>
      <c r="V62" s="57"/>
      <c r="W62" s="57"/>
      <c r="X62" s="57"/>
      <c r="Y62" s="57"/>
      <c r="Z62" s="57"/>
      <c r="AA62" s="56"/>
      <c r="AB62" s="57"/>
      <c r="AC62" s="57"/>
      <c r="AD62" s="57"/>
      <c r="AE62" s="57"/>
      <c r="AF62" s="57"/>
      <c r="AG62" s="57"/>
      <c r="AH62" s="83"/>
      <c r="AI62" s="57"/>
      <c r="AJ62" s="80"/>
      <c r="AK62" s="13"/>
      <c r="AL62" s="13"/>
    </row>
    <row r="63" s="69" customFormat="true" ht="69" hidden="false" customHeight="true" outlineLevel="0" collapsed="false">
      <c r="A63" s="54" t="n">
        <v>19</v>
      </c>
      <c r="B63" s="97" t="s">
        <v>84</v>
      </c>
      <c r="C63" s="55" t="s">
        <v>31</v>
      </c>
      <c r="D63" s="55"/>
      <c r="E63" s="61" t="n">
        <f aca="false">14-6.85</f>
        <v>7.15</v>
      </c>
      <c r="F63" s="61"/>
      <c r="G63" s="57" t="n">
        <v>209529.74494</v>
      </c>
      <c r="H63" s="84"/>
      <c r="I63" s="85"/>
      <c r="J63" s="85"/>
      <c r="K63" s="85"/>
      <c r="L63" s="90"/>
      <c r="M63" s="91"/>
      <c r="N63" s="85"/>
      <c r="O63" s="85"/>
      <c r="P63" s="56"/>
      <c r="Q63" s="85"/>
      <c r="R63" s="85"/>
      <c r="S63" s="85"/>
      <c r="T63" s="61"/>
      <c r="U63" s="57"/>
      <c r="V63" s="57"/>
      <c r="W63" s="57"/>
      <c r="X63" s="57"/>
      <c r="Y63" s="57"/>
      <c r="Z63" s="56" t="n">
        <f aca="false">E63</f>
        <v>7.15</v>
      </c>
      <c r="AA63" s="56"/>
      <c r="AB63" s="57" t="n">
        <f aca="false">G63</f>
        <v>209529.74494</v>
      </c>
      <c r="AC63" s="57" t="n">
        <f aca="false">AB63*0.94</f>
        <v>196957.9602436</v>
      </c>
      <c r="AD63" s="57" t="n">
        <f aca="false">AB63-AC63</f>
        <v>12571.7846964</v>
      </c>
      <c r="AE63" s="57"/>
      <c r="AF63" s="57"/>
      <c r="AG63" s="57"/>
      <c r="AH63" s="83"/>
      <c r="AI63" s="57"/>
      <c r="AJ63" s="80"/>
      <c r="AK63" s="13"/>
      <c r="AL63" s="13"/>
    </row>
    <row r="64" s="69" customFormat="true" ht="71.25" hidden="false" customHeight="true" outlineLevel="0" collapsed="false">
      <c r="A64" s="54" t="n">
        <v>20</v>
      </c>
      <c r="B64" s="97" t="s">
        <v>85</v>
      </c>
      <c r="C64" s="55" t="s">
        <v>31</v>
      </c>
      <c r="D64" s="55"/>
      <c r="E64" s="61" t="n">
        <v>6.85</v>
      </c>
      <c r="F64" s="61"/>
      <c r="G64" s="57" t="n">
        <v>199456.93004</v>
      </c>
      <c r="H64" s="84"/>
      <c r="I64" s="85"/>
      <c r="J64" s="85"/>
      <c r="K64" s="85"/>
      <c r="L64" s="90"/>
      <c r="M64" s="91"/>
      <c r="N64" s="85"/>
      <c r="O64" s="85"/>
      <c r="P64" s="56"/>
      <c r="Q64" s="85"/>
      <c r="R64" s="85"/>
      <c r="S64" s="85"/>
      <c r="T64" s="61"/>
      <c r="U64" s="57"/>
      <c r="V64" s="57"/>
      <c r="W64" s="57"/>
      <c r="X64" s="57"/>
      <c r="Y64" s="57"/>
      <c r="Z64" s="56" t="n">
        <f aca="false">E64</f>
        <v>6.85</v>
      </c>
      <c r="AA64" s="56"/>
      <c r="AB64" s="57" t="n">
        <f aca="false">G64</f>
        <v>199456.93004</v>
      </c>
      <c r="AC64" s="57" t="n">
        <f aca="false">AB64*0.94</f>
        <v>187489.5142376</v>
      </c>
      <c r="AD64" s="57" t="n">
        <f aca="false">AB64-AC64</f>
        <v>11967.4158024</v>
      </c>
      <c r="AE64" s="57"/>
      <c r="AF64" s="56"/>
      <c r="AG64" s="57"/>
      <c r="AH64" s="83"/>
      <c r="AI64" s="57"/>
      <c r="AJ64" s="80"/>
      <c r="AK64" s="13"/>
      <c r="AL64" s="13"/>
    </row>
    <row r="65" s="69" customFormat="true" ht="32.25" hidden="false" customHeight="true" outlineLevel="0" collapsed="false">
      <c r="A65" s="54" t="n">
        <v>21</v>
      </c>
      <c r="B65" s="97" t="s">
        <v>86</v>
      </c>
      <c r="C65" s="55" t="s">
        <v>45</v>
      </c>
      <c r="D65" s="55"/>
      <c r="E65" s="61" t="n">
        <v>5</v>
      </c>
      <c r="F65" s="61"/>
      <c r="G65" s="57" t="n">
        <f aca="false">E65*70000</f>
        <v>350000</v>
      </c>
      <c r="H65" s="84"/>
      <c r="I65" s="85"/>
      <c r="J65" s="85"/>
      <c r="K65" s="85"/>
      <c r="L65" s="90"/>
      <c r="M65" s="91"/>
      <c r="N65" s="85"/>
      <c r="O65" s="85"/>
      <c r="P65" s="56"/>
      <c r="Q65" s="85"/>
      <c r="R65" s="85"/>
      <c r="S65" s="85"/>
      <c r="T65" s="61"/>
      <c r="U65" s="57"/>
      <c r="V65" s="57"/>
      <c r="W65" s="57"/>
      <c r="X65" s="57"/>
      <c r="Y65" s="57"/>
      <c r="Z65" s="56"/>
      <c r="AA65" s="56"/>
      <c r="AB65" s="57"/>
      <c r="AC65" s="57"/>
      <c r="AD65" s="57"/>
      <c r="AE65" s="57"/>
      <c r="AF65" s="56" t="n">
        <f aca="false">E65</f>
        <v>5</v>
      </c>
      <c r="AG65" s="57"/>
      <c r="AH65" s="83" t="n">
        <f aca="false">G65</f>
        <v>350000</v>
      </c>
      <c r="AI65" s="57" t="n">
        <f aca="false">AH65*0.88</f>
        <v>308000</v>
      </c>
      <c r="AJ65" s="80" t="n">
        <f aca="false">AH65-AI65</f>
        <v>42000</v>
      </c>
      <c r="AK65" s="13"/>
      <c r="AL65" s="13"/>
    </row>
    <row r="66" s="69" customFormat="true" ht="32.25" hidden="false" customHeight="true" outlineLevel="0" collapsed="false">
      <c r="A66" s="81" t="s">
        <v>87</v>
      </c>
      <c r="B66" s="81"/>
      <c r="C66" s="55"/>
      <c r="D66" s="55"/>
      <c r="E66" s="89" t="n">
        <f aca="false">SUM(E59:E65)</f>
        <v>22.6</v>
      </c>
      <c r="F66" s="57"/>
      <c r="G66" s="50" t="n">
        <f aca="false">SUM(G59:G65)</f>
        <v>848452.30192</v>
      </c>
      <c r="H66" s="89" t="e">
        <f aca="false">SUM(#REF!)</f>
        <v>#REF!</v>
      </c>
      <c r="I66" s="71" t="e">
        <f aca="false">SUM(#REF!)</f>
        <v>#REF!</v>
      </c>
      <c r="J66" s="71" t="e">
        <f aca="false">SUM(#REF!)</f>
        <v>#REF!</v>
      </c>
      <c r="K66" s="71"/>
      <c r="L66" s="89" t="e">
        <f aca="false">SUM(#REF!)</f>
        <v>#REF!</v>
      </c>
      <c r="M66" s="71" t="e">
        <f aca="false">SUM(#REF!)</f>
        <v>#REF!</v>
      </c>
      <c r="N66" s="71" t="e">
        <f aca="false">SUM(#REF!)</f>
        <v>#REF!</v>
      </c>
      <c r="O66" s="71" t="e">
        <f aca="false">SUM(#REF!)</f>
        <v>#REF!</v>
      </c>
      <c r="P66" s="89" t="n">
        <f aca="false">SUM(P58:P60)</f>
        <v>0</v>
      </c>
      <c r="Q66" s="71" t="n">
        <f aca="false">SUM(Q58:Q60)</f>
        <v>0</v>
      </c>
      <c r="R66" s="71" t="n">
        <f aca="false">SUM(R58:R60)</f>
        <v>0</v>
      </c>
      <c r="S66" s="71" t="n">
        <f aca="false">SUM(S58:S60)</f>
        <v>0</v>
      </c>
      <c r="T66" s="89" t="n">
        <f aca="false">SUM(T58:T60)</f>
        <v>3.6</v>
      </c>
      <c r="U66" s="50"/>
      <c r="V66" s="50" t="n">
        <f aca="false">SUM(V58:V60)</f>
        <v>89465.62694</v>
      </c>
      <c r="W66" s="50"/>
      <c r="X66" s="50" t="n">
        <f aca="false">SUM(X58:X60)</f>
        <v>89465.62694</v>
      </c>
      <c r="Y66" s="50"/>
      <c r="Z66" s="89" t="n">
        <f aca="false">SUM(Z63:Z65)</f>
        <v>14</v>
      </c>
      <c r="AA66" s="89"/>
      <c r="AB66" s="50" t="n">
        <f aca="false">SUM(AB63:AB65)</f>
        <v>408986.67498</v>
      </c>
      <c r="AC66" s="50" t="n">
        <f aca="false">SUM(AC63:AC65)</f>
        <v>384447.4744812</v>
      </c>
      <c r="AD66" s="50" t="n">
        <f aca="false">SUM(AD63:AD64)</f>
        <v>24539.2004988</v>
      </c>
      <c r="AE66" s="50"/>
      <c r="AF66" s="50" t="n">
        <f aca="false">SUM(AF64:AF65)</f>
        <v>5</v>
      </c>
      <c r="AG66" s="50"/>
      <c r="AH66" s="73" t="n">
        <f aca="false">SUM(AH64:AH65)</f>
        <v>350000</v>
      </c>
      <c r="AI66" s="50" t="n">
        <f aca="false">SUM(AI64:AI65)</f>
        <v>308000</v>
      </c>
      <c r="AJ66" s="51" t="n">
        <f aca="false">SUM(AJ64:AJ65)</f>
        <v>42000</v>
      </c>
      <c r="AK66" s="13"/>
      <c r="AL66" s="13"/>
    </row>
    <row r="67" s="69" customFormat="true" ht="29.25" hidden="true" customHeight="true" outlineLevel="0" collapsed="false">
      <c r="A67" s="98" t="s">
        <v>88</v>
      </c>
      <c r="B67" s="98"/>
      <c r="C67" s="82"/>
      <c r="D67" s="82"/>
      <c r="E67" s="82"/>
      <c r="F67" s="82"/>
      <c r="G67" s="50"/>
      <c r="H67" s="55"/>
      <c r="I67" s="55"/>
      <c r="J67" s="55"/>
      <c r="K67" s="55"/>
      <c r="L67" s="55"/>
      <c r="M67" s="55"/>
      <c r="N67" s="55"/>
      <c r="O67" s="55"/>
      <c r="P67" s="55"/>
      <c r="Q67" s="85"/>
      <c r="R67" s="55"/>
      <c r="S67" s="55"/>
      <c r="T67" s="55"/>
      <c r="U67" s="57"/>
      <c r="V67" s="57"/>
      <c r="W67" s="57"/>
      <c r="X67" s="57"/>
      <c r="Y67" s="57"/>
      <c r="Z67" s="57"/>
      <c r="AA67" s="55"/>
      <c r="AB67" s="57"/>
      <c r="AC67" s="57"/>
      <c r="AD67" s="57"/>
      <c r="AE67" s="57"/>
      <c r="AF67" s="57"/>
      <c r="AG67" s="57"/>
      <c r="AH67" s="83"/>
      <c r="AI67" s="57"/>
      <c r="AJ67" s="80"/>
      <c r="AK67" s="13"/>
      <c r="AL67" s="13"/>
    </row>
    <row r="68" s="69" customFormat="true" ht="48" hidden="true" customHeight="true" outlineLevel="0" collapsed="false">
      <c r="A68" s="92"/>
      <c r="B68" s="97" t="s">
        <v>89</v>
      </c>
      <c r="C68" s="55" t="s">
        <v>31</v>
      </c>
      <c r="D68" s="55"/>
      <c r="E68" s="61"/>
      <c r="F68" s="61"/>
      <c r="G68" s="57"/>
      <c r="H68" s="84"/>
      <c r="I68" s="85"/>
      <c r="J68" s="85"/>
      <c r="K68" s="85"/>
      <c r="L68" s="90"/>
      <c r="M68" s="91"/>
      <c r="N68" s="85"/>
      <c r="O68" s="85"/>
      <c r="P68" s="90"/>
      <c r="Q68" s="91"/>
      <c r="R68" s="85"/>
      <c r="S68" s="85"/>
      <c r="T68" s="56"/>
      <c r="U68" s="57"/>
      <c r="V68" s="57"/>
      <c r="W68" s="57"/>
      <c r="X68" s="57"/>
      <c r="Y68" s="57"/>
      <c r="Z68" s="57"/>
      <c r="AA68" s="56"/>
      <c r="AB68" s="96"/>
      <c r="AC68" s="96"/>
      <c r="AD68" s="96"/>
      <c r="AE68" s="96"/>
      <c r="AF68" s="96"/>
      <c r="AG68" s="57"/>
      <c r="AH68" s="83"/>
      <c r="AI68" s="57"/>
      <c r="AJ68" s="80"/>
      <c r="AK68" s="13"/>
      <c r="AL68" s="13"/>
    </row>
    <row r="69" s="69" customFormat="true" ht="55.5" hidden="true" customHeight="true" outlineLevel="0" collapsed="false">
      <c r="A69" s="99"/>
      <c r="B69" s="97"/>
      <c r="C69" s="55"/>
      <c r="D69" s="55"/>
      <c r="E69" s="61"/>
      <c r="F69" s="84"/>
      <c r="G69" s="57"/>
      <c r="H69" s="84"/>
      <c r="I69" s="85"/>
      <c r="J69" s="85"/>
      <c r="K69" s="85"/>
      <c r="L69" s="90"/>
      <c r="M69" s="91"/>
      <c r="N69" s="85"/>
      <c r="O69" s="85"/>
      <c r="P69" s="90"/>
      <c r="Q69" s="91"/>
      <c r="R69" s="85"/>
      <c r="S69" s="85"/>
      <c r="T69" s="61"/>
      <c r="U69" s="57"/>
      <c r="V69" s="57"/>
      <c r="W69" s="57"/>
      <c r="X69" s="57"/>
      <c r="Y69" s="57"/>
      <c r="Z69" s="84"/>
      <c r="AA69" s="56"/>
      <c r="AB69" s="57"/>
      <c r="AC69" s="57"/>
      <c r="AD69" s="57"/>
      <c r="AE69" s="57"/>
      <c r="AF69" s="57"/>
      <c r="AG69" s="57"/>
      <c r="AH69" s="83"/>
      <c r="AI69" s="57"/>
      <c r="AJ69" s="80"/>
      <c r="AK69" s="13"/>
      <c r="AL69" s="13"/>
    </row>
    <row r="70" s="69" customFormat="true" ht="32.25" hidden="true" customHeight="true" outlineLevel="0" collapsed="false">
      <c r="A70" s="87" t="s">
        <v>90</v>
      </c>
      <c r="B70" s="87"/>
      <c r="C70" s="87"/>
      <c r="D70" s="58"/>
      <c r="E70" s="89" t="n">
        <f aca="false">SUM(E69:E69)</f>
        <v>0</v>
      </c>
      <c r="F70" s="89"/>
      <c r="G70" s="50" t="n">
        <f aca="false">SUM(G69:G69)</f>
        <v>0</v>
      </c>
      <c r="H70" s="89" t="e">
        <f aca="false">SUM(#REF!)</f>
        <v>#REF!</v>
      </c>
      <c r="I70" s="71" t="e">
        <f aca="false">SUM(#REF!)</f>
        <v>#REF!</v>
      </c>
      <c r="J70" s="71" t="e">
        <f aca="false">SUM(#REF!)</f>
        <v>#REF!</v>
      </c>
      <c r="K70" s="71"/>
      <c r="L70" s="89" t="e">
        <f aca="false">SUM(#REF!)</f>
        <v>#REF!</v>
      </c>
      <c r="M70" s="71" t="e">
        <f aca="false">SUM(#REF!)</f>
        <v>#REF!</v>
      </c>
      <c r="N70" s="71" t="e">
        <f aca="false">SUM(#REF!)</f>
        <v>#REF!</v>
      </c>
      <c r="O70" s="71" t="e">
        <f aca="false">SUM(#REF!)</f>
        <v>#REF!</v>
      </c>
      <c r="P70" s="89" t="n">
        <f aca="false">SUM(P68:P68)</f>
        <v>0</v>
      </c>
      <c r="Q70" s="71" t="n">
        <f aca="false">SUM(Q68:Q68)</f>
        <v>0</v>
      </c>
      <c r="R70" s="71" t="n">
        <f aca="false">SUM(R68:R68)</f>
        <v>0</v>
      </c>
      <c r="S70" s="71" t="n">
        <f aca="false">SUM(S68:S68)</f>
        <v>0</v>
      </c>
      <c r="T70" s="89" t="n">
        <f aca="false">SUM(T68:T68)</f>
        <v>0</v>
      </c>
      <c r="U70" s="89"/>
      <c r="V70" s="50" t="n">
        <f aca="false">SUM(V68:V68)</f>
        <v>0</v>
      </c>
      <c r="W70" s="50" t="n">
        <f aca="false">SUM(W68:W68)</f>
        <v>0</v>
      </c>
      <c r="X70" s="50" t="n">
        <f aca="false">SUM(X68:X68)</f>
        <v>0</v>
      </c>
      <c r="Y70" s="50"/>
      <c r="Z70" s="89"/>
      <c r="AA70" s="89"/>
      <c r="AB70" s="50"/>
      <c r="AC70" s="50"/>
      <c r="AD70" s="50"/>
      <c r="AE70" s="50"/>
      <c r="AF70" s="50"/>
      <c r="AG70" s="50"/>
      <c r="AH70" s="73"/>
      <c r="AI70" s="50"/>
      <c r="AJ70" s="51"/>
      <c r="AK70" s="13"/>
      <c r="AL70" s="13"/>
    </row>
    <row r="71" s="69" customFormat="true" ht="27" hidden="false" customHeight="true" outlineLevel="0" collapsed="false">
      <c r="A71" s="52" t="s">
        <v>91</v>
      </c>
      <c r="B71" s="52"/>
      <c r="C71" s="82"/>
      <c r="D71" s="82"/>
      <c r="E71" s="82"/>
      <c r="F71" s="82"/>
      <c r="G71" s="50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7"/>
      <c r="V71" s="57"/>
      <c r="W71" s="57"/>
      <c r="X71" s="57"/>
      <c r="Y71" s="57"/>
      <c r="Z71" s="57"/>
      <c r="AA71" s="55"/>
      <c r="AB71" s="57"/>
      <c r="AC71" s="57"/>
      <c r="AD71" s="57"/>
      <c r="AE71" s="57"/>
      <c r="AF71" s="57"/>
      <c r="AG71" s="57"/>
      <c r="AH71" s="83"/>
      <c r="AI71" s="57"/>
      <c r="AJ71" s="80"/>
      <c r="AK71" s="13"/>
      <c r="AL71" s="13"/>
    </row>
    <row r="72" s="69" customFormat="true" ht="34.5" hidden="false" customHeight="true" outlineLevel="0" collapsed="false">
      <c r="A72" s="54" t="n">
        <v>22</v>
      </c>
      <c r="B72" s="97" t="s">
        <v>92</v>
      </c>
      <c r="C72" s="55" t="s">
        <v>50</v>
      </c>
      <c r="D72" s="82"/>
      <c r="E72" s="61" t="n">
        <v>3.9</v>
      </c>
      <c r="F72" s="57"/>
      <c r="G72" s="57" t="n">
        <v>113123.16094</v>
      </c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7"/>
      <c r="V72" s="57"/>
      <c r="W72" s="57"/>
      <c r="X72" s="57"/>
      <c r="Y72" s="57"/>
      <c r="Z72" s="57" t="n">
        <f aca="false">E72</f>
        <v>3.9</v>
      </c>
      <c r="AA72" s="55"/>
      <c r="AB72" s="57" t="n">
        <f aca="false">G72</f>
        <v>113123.16094</v>
      </c>
      <c r="AC72" s="57" t="n">
        <f aca="false">AB72*0.94</f>
        <v>106335.7712836</v>
      </c>
      <c r="AD72" s="57" t="n">
        <f aca="false">AB72-AC72</f>
        <v>6787.3896564</v>
      </c>
      <c r="AE72" s="57"/>
      <c r="AF72" s="57"/>
      <c r="AG72" s="57"/>
      <c r="AH72" s="83"/>
      <c r="AI72" s="57"/>
      <c r="AJ72" s="80"/>
      <c r="AK72" s="13"/>
      <c r="AL72" s="13"/>
    </row>
    <row r="73" s="69" customFormat="true" ht="48.75" hidden="false" customHeight="true" outlineLevel="0" collapsed="false">
      <c r="A73" s="54" t="n">
        <v>23</v>
      </c>
      <c r="B73" s="97" t="s">
        <v>93</v>
      </c>
      <c r="C73" s="55" t="s">
        <v>45</v>
      </c>
      <c r="D73" s="82"/>
      <c r="E73" s="61" t="n">
        <v>6</v>
      </c>
      <c r="F73" s="57"/>
      <c r="G73" s="57" t="n">
        <f aca="false">E73*64000-10500-7500</f>
        <v>366000</v>
      </c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7"/>
      <c r="V73" s="57"/>
      <c r="W73" s="57"/>
      <c r="X73" s="57" t="s">
        <v>48</v>
      </c>
      <c r="Y73" s="57"/>
      <c r="Z73" s="56"/>
      <c r="AA73" s="55"/>
      <c r="AB73" s="57"/>
      <c r="AC73" s="57"/>
      <c r="AD73" s="57"/>
      <c r="AE73" s="57"/>
      <c r="AF73" s="56" t="n">
        <f aca="false">E73</f>
        <v>6</v>
      </c>
      <c r="AG73" s="57"/>
      <c r="AH73" s="83" t="n">
        <f aca="false">G73</f>
        <v>366000</v>
      </c>
      <c r="AI73" s="57" t="n">
        <f aca="false">AH73*0.88</f>
        <v>322080</v>
      </c>
      <c r="AJ73" s="80" t="n">
        <f aca="false">AH73-AI73</f>
        <v>43920</v>
      </c>
      <c r="AK73" s="13"/>
      <c r="AL73" s="13"/>
    </row>
    <row r="74" s="69" customFormat="true" ht="32.25" hidden="false" customHeight="true" outlineLevel="0" collapsed="false">
      <c r="A74" s="99"/>
      <c r="B74" s="79" t="s">
        <v>56</v>
      </c>
      <c r="C74" s="55"/>
      <c r="D74" s="55"/>
      <c r="E74" s="88" t="n">
        <f aca="false">T74+Z74</f>
        <v>6.346</v>
      </c>
      <c r="F74" s="88"/>
      <c r="G74" s="57" t="n">
        <f aca="false">V74+AB74</f>
        <v>274941</v>
      </c>
      <c r="H74" s="84"/>
      <c r="I74" s="85"/>
      <c r="J74" s="85"/>
      <c r="K74" s="85"/>
      <c r="L74" s="90"/>
      <c r="M74" s="91"/>
      <c r="N74" s="85"/>
      <c r="O74" s="85"/>
      <c r="P74" s="56"/>
      <c r="Q74" s="85"/>
      <c r="R74" s="85"/>
      <c r="S74" s="85"/>
      <c r="T74" s="57" t="n">
        <v>4.521</v>
      </c>
      <c r="U74" s="57"/>
      <c r="V74" s="57" t="n">
        <v>186480</v>
      </c>
      <c r="W74" s="57"/>
      <c r="X74" s="57" t="n">
        <f aca="false">V74</f>
        <v>186480</v>
      </c>
      <c r="Y74" s="57"/>
      <c r="Z74" s="57" t="n">
        <v>1.825</v>
      </c>
      <c r="AA74" s="55"/>
      <c r="AB74" s="57" t="n">
        <v>88461</v>
      </c>
      <c r="AC74" s="57"/>
      <c r="AD74" s="57" t="n">
        <f aca="false">AB74</f>
        <v>88461</v>
      </c>
      <c r="AE74" s="57"/>
      <c r="AF74" s="57"/>
      <c r="AG74" s="57"/>
      <c r="AH74" s="83"/>
      <c r="AI74" s="57"/>
      <c r="AJ74" s="80"/>
      <c r="AK74" s="13"/>
      <c r="AL74" s="13"/>
    </row>
    <row r="75" s="69" customFormat="true" ht="30.75" hidden="false" customHeight="true" outlineLevel="0" collapsed="false">
      <c r="A75" s="52" t="s">
        <v>94</v>
      </c>
      <c r="B75" s="52"/>
      <c r="C75" s="55"/>
      <c r="D75" s="55"/>
      <c r="E75" s="89" t="n">
        <f aca="false">SUM(E72:E74)</f>
        <v>16.246</v>
      </c>
      <c r="F75" s="89"/>
      <c r="G75" s="50" t="n">
        <f aca="false">SUM(G72:G74)</f>
        <v>754064.16094</v>
      </c>
      <c r="H75" s="89" t="e">
        <f aca="false">SUM(#REF!)</f>
        <v>#REF!</v>
      </c>
      <c r="I75" s="71" t="e">
        <f aca="false">SUM(#REF!)</f>
        <v>#REF!</v>
      </c>
      <c r="J75" s="71" t="e">
        <f aca="false">SUM(#REF!)</f>
        <v>#REF!</v>
      </c>
      <c r="K75" s="71"/>
      <c r="L75" s="89" t="e">
        <f aca="false">SUM(#REF!)</f>
        <v>#REF!</v>
      </c>
      <c r="M75" s="71" t="e">
        <f aca="false">SUM(#REF!)</f>
        <v>#REF!</v>
      </c>
      <c r="N75" s="71" t="e">
        <f aca="false">SUM(#REF!)</f>
        <v>#REF!</v>
      </c>
      <c r="O75" s="71" t="e">
        <f aca="false">SUM(#REF!)</f>
        <v>#REF!</v>
      </c>
      <c r="P75" s="89" t="e">
        <f aca="false">SUM(#REF!)</f>
        <v>#REF!</v>
      </c>
      <c r="Q75" s="71" t="e">
        <f aca="false">SUM(#REF!)</f>
        <v>#REF!</v>
      </c>
      <c r="R75" s="71" t="e">
        <f aca="false">SUM(#REF!)</f>
        <v>#REF!</v>
      </c>
      <c r="S75" s="71"/>
      <c r="T75" s="89" t="n">
        <f aca="false">SUM(T74:T74)</f>
        <v>4.521</v>
      </c>
      <c r="U75" s="50"/>
      <c r="V75" s="50" t="n">
        <f aca="false">SUM(V74:V74)</f>
        <v>186480</v>
      </c>
      <c r="W75" s="50"/>
      <c r="X75" s="50" t="n">
        <f aca="false">SUM(X74:X74)</f>
        <v>186480</v>
      </c>
      <c r="Y75" s="50"/>
      <c r="Z75" s="89" t="n">
        <f aca="false">SUM(Z72:Z74)</f>
        <v>5.725</v>
      </c>
      <c r="AA75" s="50"/>
      <c r="AB75" s="50" t="n">
        <f aca="false">SUM(AB72:AB74)</f>
        <v>201584.16094</v>
      </c>
      <c r="AC75" s="50" t="n">
        <f aca="false">SUM(AC72:AC74)</f>
        <v>106335.7712836</v>
      </c>
      <c r="AD75" s="50" t="n">
        <f aca="false">SUM(AD72:AD74)</f>
        <v>95248.3896564</v>
      </c>
      <c r="AE75" s="50"/>
      <c r="AF75" s="89" t="n">
        <f aca="false">SUM(AF72:AF74)</f>
        <v>6</v>
      </c>
      <c r="AG75" s="89"/>
      <c r="AH75" s="50" t="n">
        <f aca="false">SUM(AH72:AH74)</f>
        <v>366000</v>
      </c>
      <c r="AI75" s="50" t="n">
        <f aca="false">SUM(AI72:AI74)</f>
        <v>322080</v>
      </c>
      <c r="AJ75" s="51" t="n">
        <f aca="false">SUM(AJ72:AJ74)</f>
        <v>43920</v>
      </c>
      <c r="AK75" s="13"/>
      <c r="AL75" s="13"/>
    </row>
    <row r="76" s="69" customFormat="true" ht="33.75" hidden="false" customHeight="true" outlineLevel="0" collapsed="false">
      <c r="A76" s="52" t="s">
        <v>95</v>
      </c>
      <c r="B76" s="52"/>
      <c r="C76" s="82"/>
      <c r="D76" s="82"/>
      <c r="E76" s="82"/>
      <c r="F76" s="82"/>
      <c r="G76" s="50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7"/>
      <c r="V76" s="57"/>
      <c r="W76" s="57"/>
      <c r="X76" s="57"/>
      <c r="Y76" s="57"/>
      <c r="Z76" s="57"/>
      <c r="AA76" s="55"/>
      <c r="AB76" s="57"/>
      <c r="AC76" s="57"/>
      <c r="AD76" s="57"/>
      <c r="AE76" s="57"/>
      <c r="AF76" s="57"/>
      <c r="AG76" s="57"/>
      <c r="AH76" s="83"/>
      <c r="AI76" s="57"/>
      <c r="AJ76" s="80"/>
      <c r="AK76" s="13"/>
      <c r="AL76" s="13"/>
    </row>
    <row r="77" s="69" customFormat="true" ht="43.5" hidden="false" customHeight="true" outlineLevel="0" collapsed="false">
      <c r="A77" s="54" t="n">
        <v>24</v>
      </c>
      <c r="B77" s="97" t="s">
        <v>96</v>
      </c>
      <c r="C77" s="55" t="s">
        <v>31</v>
      </c>
      <c r="D77" s="55"/>
      <c r="E77" s="61" t="n">
        <v>2.3</v>
      </c>
      <c r="F77" s="61"/>
      <c r="G77" s="57" t="n">
        <v>58857.7823</v>
      </c>
      <c r="H77" s="84"/>
      <c r="I77" s="85"/>
      <c r="J77" s="85"/>
      <c r="K77" s="85"/>
      <c r="L77" s="90"/>
      <c r="M77" s="91"/>
      <c r="N77" s="85"/>
      <c r="O77" s="85"/>
      <c r="P77" s="56"/>
      <c r="Q77" s="85"/>
      <c r="R77" s="85"/>
      <c r="S77" s="85"/>
      <c r="T77" s="56" t="n">
        <f aca="false">E77</f>
        <v>2.3</v>
      </c>
      <c r="U77" s="57"/>
      <c r="V77" s="57" t="n">
        <f aca="false">G77</f>
        <v>58857.7823</v>
      </c>
      <c r="W77" s="57"/>
      <c r="X77" s="57" t="n">
        <f aca="false">V77</f>
        <v>58857.7823</v>
      </c>
      <c r="Y77" s="57"/>
      <c r="Z77" s="61"/>
      <c r="AA77" s="56"/>
      <c r="AB77" s="57"/>
      <c r="AC77" s="57"/>
      <c r="AD77" s="57"/>
      <c r="AE77" s="57"/>
      <c r="AF77" s="57"/>
      <c r="AG77" s="57"/>
      <c r="AH77" s="83"/>
      <c r="AI77" s="57"/>
      <c r="AJ77" s="80"/>
      <c r="AK77" s="13"/>
      <c r="AL77" s="13"/>
    </row>
    <row r="78" s="69" customFormat="true" ht="69" hidden="false" customHeight="true" outlineLevel="0" collapsed="false">
      <c r="A78" s="54" t="n">
        <v>25</v>
      </c>
      <c r="B78" s="97" t="s">
        <v>97</v>
      </c>
      <c r="C78" s="55" t="s">
        <v>31</v>
      </c>
      <c r="D78" s="55"/>
      <c r="E78" s="61" t="n">
        <f aca="false">3.07+4.3</f>
        <v>7.37</v>
      </c>
      <c r="F78" s="61"/>
      <c r="G78" s="57" t="n">
        <f aca="false">AB78+AH78</f>
        <v>206174.5</v>
      </c>
      <c r="H78" s="84"/>
      <c r="I78" s="85"/>
      <c r="J78" s="85"/>
      <c r="K78" s="85"/>
      <c r="L78" s="90"/>
      <c r="M78" s="91"/>
      <c r="N78" s="85"/>
      <c r="O78" s="85"/>
      <c r="P78" s="56"/>
      <c r="Q78" s="85"/>
      <c r="R78" s="85"/>
      <c r="S78" s="85"/>
      <c r="T78" s="56"/>
      <c r="U78" s="57"/>
      <c r="V78" s="57"/>
      <c r="W78" s="57"/>
      <c r="X78" s="57"/>
      <c r="Y78" s="57"/>
      <c r="Z78" s="56" t="n">
        <v>3.07</v>
      </c>
      <c r="AA78" s="56"/>
      <c r="AB78" s="57" t="n">
        <v>77174.5</v>
      </c>
      <c r="AC78" s="57" t="n">
        <f aca="false">AB78*0.94</f>
        <v>72544.03</v>
      </c>
      <c r="AD78" s="57" t="n">
        <f aca="false">AB78-AC78</f>
        <v>4630.47</v>
      </c>
      <c r="AE78" s="57"/>
      <c r="AF78" s="57" t="n">
        <v>4.3</v>
      </c>
      <c r="AG78" s="57"/>
      <c r="AH78" s="83" t="n">
        <f aca="false">AF78*30000</f>
        <v>129000</v>
      </c>
      <c r="AI78" s="57" t="n">
        <f aca="false">AH78*0.88</f>
        <v>113520</v>
      </c>
      <c r="AJ78" s="80" t="n">
        <f aca="false">AH78-AI78</f>
        <v>15480</v>
      </c>
      <c r="AK78" s="13"/>
      <c r="AL78" s="13"/>
    </row>
    <row r="79" s="69" customFormat="true" ht="33" hidden="true" customHeight="true" outlineLevel="0" collapsed="false">
      <c r="A79" s="54" t="n">
        <v>26</v>
      </c>
      <c r="B79" s="97" t="s">
        <v>98</v>
      </c>
      <c r="C79" s="55" t="s">
        <v>31</v>
      </c>
      <c r="D79" s="55"/>
      <c r="E79" s="61"/>
      <c r="F79" s="61"/>
      <c r="G79" s="57"/>
      <c r="H79" s="84"/>
      <c r="I79" s="85"/>
      <c r="J79" s="85"/>
      <c r="K79" s="85"/>
      <c r="L79" s="90"/>
      <c r="M79" s="91"/>
      <c r="N79" s="85"/>
      <c r="O79" s="85"/>
      <c r="P79" s="56"/>
      <c r="Q79" s="85"/>
      <c r="R79" s="85"/>
      <c r="S79" s="85"/>
      <c r="T79" s="56"/>
      <c r="U79" s="57"/>
      <c r="V79" s="57"/>
      <c r="W79" s="57"/>
      <c r="X79" s="57"/>
      <c r="Y79" s="57"/>
      <c r="Z79" s="56"/>
      <c r="AA79" s="56"/>
      <c r="AB79" s="57"/>
      <c r="AC79" s="100"/>
      <c r="AD79" s="57"/>
      <c r="AE79" s="57"/>
      <c r="AF79" s="56" t="n">
        <f aca="false">E79</f>
        <v>0</v>
      </c>
      <c r="AG79" s="57"/>
      <c r="AH79" s="83" t="n">
        <f aca="false">G79</f>
        <v>0</v>
      </c>
      <c r="AI79" s="57" t="n">
        <f aca="false">AH79*0.88</f>
        <v>0</v>
      </c>
      <c r="AJ79" s="80" t="n">
        <f aca="false">AH79-AI79</f>
        <v>0</v>
      </c>
      <c r="AK79" s="13"/>
      <c r="AL79" s="13"/>
    </row>
    <row r="80" s="69" customFormat="true" ht="27.75" hidden="false" customHeight="true" outlineLevel="0" collapsed="false">
      <c r="A80" s="81" t="s">
        <v>99</v>
      </c>
      <c r="B80" s="81"/>
      <c r="C80" s="55"/>
      <c r="D80" s="55"/>
      <c r="E80" s="89" t="n">
        <f aca="false">SUM(E77:E79)</f>
        <v>9.67</v>
      </c>
      <c r="F80" s="89"/>
      <c r="G80" s="50" t="n">
        <f aca="false">SUM(G77:G79)</f>
        <v>265032.2823</v>
      </c>
      <c r="H80" s="89" t="e">
        <f aca="false">SUM(#REF!)</f>
        <v>#REF!</v>
      </c>
      <c r="I80" s="71" t="e">
        <f aca="false">SUM(#REF!)</f>
        <v>#REF!</v>
      </c>
      <c r="J80" s="71" t="e">
        <f aca="false">SUM(#REF!)</f>
        <v>#REF!</v>
      </c>
      <c r="K80" s="71"/>
      <c r="L80" s="89" t="e">
        <f aca="false">SUM(#REF!)</f>
        <v>#REF!</v>
      </c>
      <c r="M80" s="71" t="e">
        <f aca="false">SUM(#REF!)</f>
        <v>#REF!</v>
      </c>
      <c r="N80" s="71" t="e">
        <f aca="false">SUM(#REF!)</f>
        <v>#REF!</v>
      </c>
      <c r="O80" s="71" t="e">
        <f aca="false">SUM(#REF!)</f>
        <v>#REF!</v>
      </c>
      <c r="P80" s="89" t="e">
        <f aca="false">SUM(#REF!)</f>
        <v>#REF!</v>
      </c>
      <c r="Q80" s="71" t="e">
        <f aca="false">SUM(#REF!)</f>
        <v>#REF!</v>
      </c>
      <c r="R80" s="71" t="e">
        <f aca="false">SUM(#REF!)</f>
        <v>#REF!</v>
      </c>
      <c r="S80" s="71"/>
      <c r="T80" s="89" t="n">
        <f aca="false">SUM(T77:T78)</f>
        <v>2.3</v>
      </c>
      <c r="U80" s="89"/>
      <c r="V80" s="50" t="n">
        <f aca="false">SUM(V77:V78)</f>
        <v>58857.7823</v>
      </c>
      <c r="W80" s="50"/>
      <c r="X80" s="50" t="n">
        <f aca="false">SUM(X77:X78)</f>
        <v>58857.7823</v>
      </c>
      <c r="Y80" s="50"/>
      <c r="Z80" s="89" t="n">
        <f aca="false">SUM(Z77:Z78)</f>
        <v>3.07</v>
      </c>
      <c r="AA80" s="89"/>
      <c r="AB80" s="50" t="n">
        <f aca="false">SUM(AB77:AB78)</f>
        <v>77174.5</v>
      </c>
      <c r="AC80" s="50" t="n">
        <f aca="false">SUM(AC77:AC78)</f>
        <v>72544.03</v>
      </c>
      <c r="AD80" s="50" t="n">
        <f aca="false">SUM(AD77:AD78)</f>
        <v>4630.47</v>
      </c>
      <c r="AE80" s="50"/>
      <c r="AF80" s="50" t="n">
        <f aca="false">SUM(AF78:AF79)</f>
        <v>4.3</v>
      </c>
      <c r="AG80" s="50"/>
      <c r="AH80" s="73" t="n">
        <f aca="false">SUM(AH78:AH79)</f>
        <v>129000</v>
      </c>
      <c r="AI80" s="50" t="n">
        <f aca="false">SUM(AI78:AI79)</f>
        <v>113520</v>
      </c>
      <c r="AJ80" s="51" t="n">
        <f aca="false">SUM(AJ78:AJ79)</f>
        <v>15480</v>
      </c>
      <c r="AK80" s="13"/>
      <c r="AL80" s="13"/>
    </row>
    <row r="81" s="69" customFormat="true" ht="29.25" hidden="false" customHeight="true" outlineLevel="0" collapsed="false">
      <c r="A81" s="52" t="s">
        <v>100</v>
      </c>
      <c r="B81" s="52"/>
      <c r="C81" s="82"/>
      <c r="D81" s="82"/>
      <c r="E81" s="82"/>
      <c r="F81" s="82"/>
      <c r="G81" s="50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7"/>
      <c r="V81" s="57"/>
      <c r="W81" s="57"/>
      <c r="X81" s="57"/>
      <c r="Y81" s="57"/>
      <c r="Z81" s="57"/>
      <c r="AA81" s="55"/>
      <c r="AB81" s="57"/>
      <c r="AC81" s="57"/>
      <c r="AD81" s="57"/>
      <c r="AE81" s="57"/>
      <c r="AF81" s="57"/>
      <c r="AG81" s="57"/>
      <c r="AH81" s="83"/>
      <c r="AI81" s="57"/>
      <c r="AJ81" s="80"/>
      <c r="AK81" s="13"/>
      <c r="AL81" s="13"/>
    </row>
    <row r="82" s="69" customFormat="true" ht="51.75" hidden="false" customHeight="true" outlineLevel="0" collapsed="false">
      <c r="A82" s="54" t="n">
        <v>26</v>
      </c>
      <c r="B82" s="97" t="s">
        <v>101</v>
      </c>
      <c r="C82" s="55" t="s">
        <v>31</v>
      </c>
      <c r="D82" s="55"/>
      <c r="E82" s="61" t="n">
        <v>4.1</v>
      </c>
      <c r="F82" s="61"/>
      <c r="G82" s="57" t="n">
        <v>128306.87396</v>
      </c>
      <c r="H82" s="84"/>
      <c r="I82" s="85"/>
      <c r="J82" s="85"/>
      <c r="K82" s="85"/>
      <c r="L82" s="90"/>
      <c r="M82" s="91"/>
      <c r="N82" s="85"/>
      <c r="O82" s="85"/>
      <c r="P82" s="90"/>
      <c r="Q82" s="91"/>
      <c r="R82" s="85"/>
      <c r="S82" s="85"/>
      <c r="T82" s="56"/>
      <c r="U82" s="57"/>
      <c r="V82" s="57"/>
      <c r="W82" s="57"/>
      <c r="X82" s="57"/>
      <c r="Y82" s="57"/>
      <c r="Z82" s="56" t="n">
        <v>4.1</v>
      </c>
      <c r="AA82" s="56"/>
      <c r="AB82" s="100" t="n">
        <f aca="false">G82</f>
        <v>128306.87396</v>
      </c>
      <c r="AC82" s="57" t="n">
        <f aca="false">AB82*0.94</f>
        <v>120608.4615224</v>
      </c>
      <c r="AD82" s="57" t="n">
        <f aca="false">AB82-AC82</f>
        <v>7698.41243760001</v>
      </c>
      <c r="AE82" s="57"/>
      <c r="AF82" s="57"/>
      <c r="AG82" s="57"/>
      <c r="AH82" s="83"/>
      <c r="AI82" s="57"/>
      <c r="AJ82" s="80"/>
      <c r="AK82" s="13"/>
      <c r="AL82" s="13"/>
    </row>
    <row r="83" s="69" customFormat="true" ht="44.25" hidden="false" customHeight="true" outlineLevel="0" collapsed="false">
      <c r="A83" s="54" t="n">
        <v>27</v>
      </c>
      <c r="B83" s="97" t="s">
        <v>102</v>
      </c>
      <c r="C83" s="55" t="s">
        <v>45</v>
      </c>
      <c r="D83" s="55"/>
      <c r="E83" s="61" t="n">
        <v>6</v>
      </c>
      <c r="F83" s="61"/>
      <c r="G83" s="57" t="n">
        <f aca="false">E83*64000-10500-7500</f>
        <v>366000</v>
      </c>
      <c r="H83" s="84"/>
      <c r="I83" s="85"/>
      <c r="J83" s="85"/>
      <c r="K83" s="85"/>
      <c r="L83" s="90"/>
      <c r="M83" s="91"/>
      <c r="N83" s="85"/>
      <c r="O83" s="85"/>
      <c r="P83" s="90"/>
      <c r="Q83" s="91"/>
      <c r="R83" s="85"/>
      <c r="S83" s="85"/>
      <c r="T83" s="56"/>
      <c r="U83" s="57"/>
      <c r="V83" s="57"/>
      <c r="W83" s="57"/>
      <c r="X83" s="57"/>
      <c r="Y83" s="57"/>
      <c r="Z83" s="56"/>
      <c r="AA83" s="56"/>
      <c r="AB83" s="100"/>
      <c r="AC83" s="100"/>
      <c r="AD83" s="57"/>
      <c r="AE83" s="57"/>
      <c r="AF83" s="56" t="n">
        <f aca="false">E83</f>
        <v>6</v>
      </c>
      <c r="AG83" s="57"/>
      <c r="AH83" s="83" t="n">
        <f aca="false">G83</f>
        <v>366000</v>
      </c>
      <c r="AI83" s="57" t="n">
        <f aca="false">AH83*0.88</f>
        <v>322080</v>
      </c>
      <c r="AJ83" s="80" t="n">
        <f aca="false">AH83-AI83</f>
        <v>43920</v>
      </c>
      <c r="AK83" s="13"/>
      <c r="AL83" s="13"/>
    </row>
    <row r="84" s="69" customFormat="true" ht="33.15" hidden="false" customHeight="true" outlineLevel="0" collapsed="false">
      <c r="A84" s="54" t="n">
        <v>28</v>
      </c>
      <c r="B84" s="97" t="s">
        <v>103</v>
      </c>
      <c r="C84" s="55" t="s">
        <v>50</v>
      </c>
      <c r="D84" s="55"/>
      <c r="E84" s="61" t="n">
        <v>2.3</v>
      </c>
      <c r="F84" s="61"/>
      <c r="G84" s="57" t="n">
        <f aca="false">E84*30000</f>
        <v>69000</v>
      </c>
      <c r="H84" s="84"/>
      <c r="I84" s="85"/>
      <c r="J84" s="85"/>
      <c r="K84" s="85"/>
      <c r="L84" s="90"/>
      <c r="M84" s="91"/>
      <c r="N84" s="85"/>
      <c r="O84" s="85"/>
      <c r="P84" s="90"/>
      <c r="Q84" s="91"/>
      <c r="R84" s="85"/>
      <c r="S84" s="85"/>
      <c r="T84" s="56"/>
      <c r="U84" s="57"/>
      <c r="V84" s="57"/>
      <c r="W84" s="57"/>
      <c r="X84" s="57"/>
      <c r="Y84" s="57"/>
      <c r="Z84" s="56"/>
      <c r="AA84" s="56"/>
      <c r="AB84" s="100"/>
      <c r="AC84" s="100"/>
      <c r="AD84" s="57"/>
      <c r="AE84" s="57"/>
      <c r="AF84" s="56" t="n">
        <f aca="false">E84</f>
        <v>2.3</v>
      </c>
      <c r="AG84" s="57"/>
      <c r="AH84" s="83" t="n">
        <f aca="false">G84</f>
        <v>69000</v>
      </c>
      <c r="AI84" s="57" t="n">
        <f aca="false">AH84*0.88</f>
        <v>60720</v>
      </c>
      <c r="AJ84" s="80" t="n">
        <f aca="false">AH84-AI84</f>
        <v>8280</v>
      </c>
      <c r="AK84" s="13"/>
      <c r="AL84" s="13"/>
    </row>
    <row r="85" s="69" customFormat="true" ht="29.25" hidden="false" customHeight="true" outlineLevel="0" collapsed="false">
      <c r="A85" s="99"/>
      <c r="B85" s="79" t="s">
        <v>55</v>
      </c>
      <c r="C85" s="55"/>
      <c r="D85" s="55"/>
      <c r="E85" s="100" t="n">
        <f aca="false">SUM(E82:E84)</f>
        <v>12.4</v>
      </c>
      <c r="F85" s="57"/>
      <c r="G85" s="100" t="n">
        <f aca="false">SUM(G82:G84)</f>
        <v>563306.87396</v>
      </c>
      <c r="H85" s="84"/>
      <c r="I85" s="85"/>
      <c r="J85" s="85"/>
      <c r="K85" s="85"/>
      <c r="L85" s="90"/>
      <c r="M85" s="91"/>
      <c r="N85" s="85"/>
      <c r="O85" s="85"/>
      <c r="P85" s="90"/>
      <c r="Q85" s="91"/>
      <c r="R85" s="85"/>
      <c r="S85" s="85"/>
      <c r="T85" s="56"/>
      <c r="U85" s="57"/>
      <c r="V85" s="57"/>
      <c r="W85" s="57"/>
      <c r="X85" s="57"/>
      <c r="Y85" s="57"/>
      <c r="Z85" s="100" t="n">
        <f aca="false">SUM(Z82:Z82)</f>
        <v>4.1</v>
      </c>
      <c r="AA85" s="61"/>
      <c r="AB85" s="100" t="n">
        <f aca="false">SUM(AB82:AB82)</f>
        <v>128306.87396</v>
      </c>
      <c r="AC85" s="100" t="n">
        <f aca="false">SUM(AC82:AC82)</f>
        <v>120608.4615224</v>
      </c>
      <c r="AD85" s="100" t="n">
        <f aca="false">SUM(AD82:AD82)</f>
        <v>7698.41243760001</v>
      </c>
      <c r="AE85" s="57"/>
      <c r="AF85" s="56" t="n">
        <f aca="false">SUM(AF83:AF84)</f>
        <v>8.3</v>
      </c>
      <c r="AG85" s="57"/>
      <c r="AH85" s="83" t="n">
        <f aca="false">SUM(AH83:AH84)</f>
        <v>435000</v>
      </c>
      <c r="AI85" s="57" t="n">
        <f aca="false">SUM(AI83:AI84)</f>
        <v>382800</v>
      </c>
      <c r="AJ85" s="80" t="n">
        <f aca="false">SUM(AJ83:AJ84)</f>
        <v>52200</v>
      </c>
      <c r="AK85" s="13"/>
      <c r="AL85" s="13"/>
    </row>
    <row r="86" s="69" customFormat="true" ht="24" hidden="false" customHeight="true" outlineLevel="0" collapsed="false">
      <c r="A86" s="92"/>
      <c r="B86" s="79" t="s">
        <v>56</v>
      </c>
      <c r="C86" s="55"/>
      <c r="D86" s="55"/>
      <c r="E86" s="100" t="n">
        <f aca="false">T86+Z86</f>
        <v>14.341</v>
      </c>
      <c r="F86" s="61"/>
      <c r="G86" s="57" t="n">
        <f aca="false">V86+AB86</f>
        <v>289687.9</v>
      </c>
      <c r="H86" s="84"/>
      <c r="I86" s="85"/>
      <c r="J86" s="85"/>
      <c r="K86" s="85"/>
      <c r="L86" s="90"/>
      <c r="M86" s="91"/>
      <c r="N86" s="85"/>
      <c r="O86" s="85"/>
      <c r="P86" s="90"/>
      <c r="Q86" s="91"/>
      <c r="R86" s="85"/>
      <c r="S86" s="85"/>
      <c r="T86" s="57" t="n">
        <v>9.584</v>
      </c>
      <c r="U86" s="57"/>
      <c r="V86" s="57" t="n">
        <v>196556</v>
      </c>
      <c r="W86" s="57"/>
      <c r="X86" s="57" t="n">
        <f aca="false">V86</f>
        <v>196556</v>
      </c>
      <c r="Y86" s="57"/>
      <c r="Z86" s="100" t="n">
        <v>4.757</v>
      </c>
      <c r="AA86" s="61"/>
      <c r="AB86" s="100" t="n">
        <v>93131.9</v>
      </c>
      <c r="AC86" s="100"/>
      <c r="AD86" s="100" t="n">
        <f aca="false">AB86</f>
        <v>93131.9</v>
      </c>
      <c r="AE86" s="57"/>
      <c r="AF86" s="57"/>
      <c r="AG86" s="57"/>
      <c r="AH86" s="83"/>
      <c r="AI86" s="57"/>
      <c r="AJ86" s="80"/>
      <c r="AK86" s="13"/>
      <c r="AL86" s="13"/>
    </row>
    <row r="87" s="69" customFormat="true" ht="33.75" hidden="false" customHeight="true" outlineLevel="0" collapsed="false">
      <c r="A87" s="81" t="s">
        <v>104</v>
      </c>
      <c r="B87" s="81"/>
      <c r="C87" s="55"/>
      <c r="D87" s="55"/>
      <c r="E87" s="50" t="n">
        <f aca="false">SUM(E85:E86)</f>
        <v>26.741</v>
      </c>
      <c r="F87" s="50"/>
      <c r="G87" s="50" t="n">
        <f aca="false">SUM(G85:G86)</f>
        <v>852994.77396</v>
      </c>
      <c r="H87" s="89"/>
      <c r="I87" s="71"/>
      <c r="J87" s="71"/>
      <c r="K87" s="71"/>
      <c r="L87" s="89"/>
      <c r="M87" s="71"/>
      <c r="N87" s="71"/>
      <c r="O87" s="71"/>
      <c r="P87" s="50"/>
      <c r="Q87" s="71"/>
      <c r="R87" s="71"/>
      <c r="S87" s="71"/>
      <c r="T87" s="50" t="n">
        <f aca="false">SUM(T85:T86)</f>
        <v>9.584</v>
      </c>
      <c r="U87" s="50"/>
      <c r="V87" s="50" t="n">
        <f aca="false">SUM(V85:V86)</f>
        <v>196556</v>
      </c>
      <c r="W87" s="50"/>
      <c r="X87" s="50" t="n">
        <f aca="false">SUM(X85:X86)</f>
        <v>196556</v>
      </c>
      <c r="Y87" s="50"/>
      <c r="Z87" s="50" t="n">
        <f aca="false">SUM(Z85:Z86)</f>
        <v>8.857</v>
      </c>
      <c r="AA87" s="50"/>
      <c r="AB87" s="50" t="n">
        <f aca="false">SUM(AB85:AB86)</f>
        <v>221438.77396</v>
      </c>
      <c r="AC87" s="50" t="n">
        <f aca="false">SUM(AC85:AC86)</f>
        <v>120608.4615224</v>
      </c>
      <c r="AD87" s="50" t="n">
        <f aca="false">SUM(AD85:AD86)</f>
        <v>100830.3124376</v>
      </c>
      <c r="AE87" s="50"/>
      <c r="AF87" s="50" t="n">
        <f aca="false">SUM(AF85:AF86)</f>
        <v>8.3</v>
      </c>
      <c r="AG87" s="50"/>
      <c r="AH87" s="50" t="n">
        <f aca="false">SUM(AH85:AH86)</f>
        <v>435000</v>
      </c>
      <c r="AI87" s="50" t="n">
        <f aca="false">SUM(AI85:AI86)</f>
        <v>382800</v>
      </c>
      <c r="AJ87" s="51" t="n">
        <f aca="false">SUM(AJ85:AJ86)</f>
        <v>52200</v>
      </c>
      <c r="AK87" s="13"/>
      <c r="AL87" s="13"/>
    </row>
    <row r="88" s="69" customFormat="true" ht="26.25" hidden="false" customHeight="true" outlineLevel="0" collapsed="false">
      <c r="A88" s="52" t="s">
        <v>105</v>
      </c>
      <c r="B88" s="52"/>
      <c r="C88" s="82"/>
      <c r="D88" s="82"/>
      <c r="E88" s="82"/>
      <c r="F88" s="82"/>
      <c r="G88" s="50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7"/>
      <c r="V88" s="57"/>
      <c r="W88" s="57"/>
      <c r="X88" s="57"/>
      <c r="Y88" s="57"/>
      <c r="Z88" s="57"/>
      <c r="AA88" s="55"/>
      <c r="AB88" s="57"/>
      <c r="AC88" s="57"/>
      <c r="AD88" s="57"/>
      <c r="AE88" s="57"/>
      <c r="AF88" s="57"/>
      <c r="AG88" s="57"/>
      <c r="AH88" s="83"/>
      <c r="AI88" s="57"/>
      <c r="AJ88" s="80"/>
      <c r="AK88" s="13"/>
      <c r="AL88" s="13"/>
    </row>
    <row r="89" s="69" customFormat="true" ht="46.5" hidden="false" customHeight="true" outlineLevel="0" collapsed="false">
      <c r="A89" s="54" t="n">
        <v>29</v>
      </c>
      <c r="B89" s="101" t="s">
        <v>106</v>
      </c>
      <c r="C89" s="55" t="s">
        <v>31</v>
      </c>
      <c r="D89" s="82"/>
      <c r="E89" s="61" t="n">
        <v>3.9</v>
      </c>
      <c r="F89" s="82"/>
      <c r="G89" s="57" t="n">
        <v>76711.60033</v>
      </c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61" t="n">
        <f aca="false">E89</f>
        <v>3.9</v>
      </c>
      <c r="U89" s="57"/>
      <c r="V89" s="57" t="n">
        <f aca="false">G89</f>
        <v>76711.60033</v>
      </c>
      <c r="W89" s="57"/>
      <c r="X89" s="57" t="n">
        <f aca="false">V89</f>
        <v>76711.60033</v>
      </c>
      <c r="Y89" s="57"/>
      <c r="Z89" s="57"/>
      <c r="AA89" s="55"/>
      <c r="AB89" s="57"/>
      <c r="AC89" s="57"/>
      <c r="AD89" s="57"/>
      <c r="AE89" s="57"/>
      <c r="AF89" s="57"/>
      <c r="AG89" s="57"/>
      <c r="AH89" s="83"/>
      <c r="AI89" s="57"/>
      <c r="AJ89" s="80"/>
      <c r="AK89" s="13"/>
      <c r="AL89" s="13"/>
    </row>
    <row r="90" s="69" customFormat="true" ht="27" hidden="false" customHeight="true" outlineLevel="0" collapsed="false">
      <c r="A90" s="54" t="n">
        <v>30</v>
      </c>
      <c r="B90" s="101" t="s">
        <v>107</v>
      </c>
      <c r="C90" s="55" t="s">
        <v>31</v>
      </c>
      <c r="D90" s="82"/>
      <c r="E90" s="61" t="n">
        <v>4.2</v>
      </c>
      <c r="F90" s="82"/>
      <c r="G90" s="57" t="n">
        <v>131455.49917</v>
      </c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61"/>
      <c r="U90" s="57"/>
      <c r="V90" s="57"/>
      <c r="W90" s="57"/>
      <c r="X90" s="57"/>
      <c r="Y90" s="57"/>
      <c r="Z90" s="56" t="n">
        <v>4.2</v>
      </c>
      <c r="AA90" s="55"/>
      <c r="AB90" s="57" t="n">
        <f aca="false">G90</f>
        <v>131455.49917</v>
      </c>
      <c r="AC90" s="57" t="n">
        <f aca="false">AB90*0.94</f>
        <v>123568.1692198</v>
      </c>
      <c r="AD90" s="57" t="n">
        <f aca="false">AB90-AC90</f>
        <v>7887.3299502</v>
      </c>
      <c r="AE90" s="57"/>
      <c r="AF90" s="57"/>
      <c r="AG90" s="57"/>
      <c r="AH90" s="83"/>
      <c r="AI90" s="57"/>
      <c r="AJ90" s="80"/>
      <c r="AK90" s="13"/>
      <c r="AL90" s="13"/>
    </row>
    <row r="91" s="69" customFormat="true" ht="43.5" hidden="false" customHeight="true" outlineLevel="0" collapsed="false">
      <c r="A91" s="54" t="n">
        <v>31</v>
      </c>
      <c r="B91" s="101" t="s">
        <v>108</v>
      </c>
      <c r="C91" s="55" t="s">
        <v>31</v>
      </c>
      <c r="D91" s="82"/>
      <c r="E91" s="61" t="n">
        <v>1.2</v>
      </c>
      <c r="F91" s="82"/>
      <c r="G91" s="57" t="n">
        <f aca="false">E91*30000</f>
        <v>36000</v>
      </c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61"/>
      <c r="U91" s="57"/>
      <c r="V91" s="57"/>
      <c r="W91" s="57"/>
      <c r="X91" s="57"/>
      <c r="Y91" s="57"/>
      <c r="Z91" s="56"/>
      <c r="AA91" s="55"/>
      <c r="AB91" s="57"/>
      <c r="AC91" s="57"/>
      <c r="AD91" s="57"/>
      <c r="AE91" s="57"/>
      <c r="AF91" s="56" t="n">
        <f aca="false">E91</f>
        <v>1.2</v>
      </c>
      <c r="AG91" s="57"/>
      <c r="AH91" s="83" t="n">
        <f aca="false">G91</f>
        <v>36000</v>
      </c>
      <c r="AI91" s="57" t="n">
        <f aca="false">AH91*0.88</f>
        <v>31680</v>
      </c>
      <c r="AJ91" s="80" t="n">
        <f aca="false">AH91-AI91</f>
        <v>4320</v>
      </c>
      <c r="AK91" s="13"/>
      <c r="AL91" s="13"/>
    </row>
    <row r="92" s="69" customFormat="true" ht="48.75" hidden="false" customHeight="true" outlineLevel="0" collapsed="false">
      <c r="A92" s="54" t="n">
        <v>32</v>
      </c>
      <c r="B92" s="101" t="s">
        <v>109</v>
      </c>
      <c r="C92" s="55" t="s">
        <v>34</v>
      </c>
      <c r="D92" s="82"/>
      <c r="E92" s="61" t="n">
        <v>2.1</v>
      </c>
      <c r="F92" s="82"/>
      <c r="G92" s="57" t="n">
        <f aca="false">E92*30000</f>
        <v>63000</v>
      </c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61"/>
      <c r="U92" s="57"/>
      <c r="V92" s="57"/>
      <c r="W92" s="57"/>
      <c r="X92" s="57"/>
      <c r="Y92" s="57"/>
      <c r="Z92" s="56"/>
      <c r="AA92" s="55"/>
      <c r="AB92" s="57"/>
      <c r="AC92" s="57"/>
      <c r="AD92" s="57"/>
      <c r="AE92" s="57"/>
      <c r="AF92" s="56" t="n">
        <f aca="false">E92</f>
        <v>2.1</v>
      </c>
      <c r="AG92" s="57"/>
      <c r="AH92" s="83" t="n">
        <f aca="false">G92</f>
        <v>63000</v>
      </c>
      <c r="AI92" s="57" t="n">
        <f aca="false">AH92*0.88</f>
        <v>55440</v>
      </c>
      <c r="AJ92" s="80" t="n">
        <f aca="false">AH92-AI92</f>
        <v>7560</v>
      </c>
      <c r="AK92" s="13"/>
      <c r="AL92" s="13"/>
    </row>
    <row r="93" s="69" customFormat="true" ht="29.25" hidden="false" customHeight="true" outlineLevel="0" collapsed="false">
      <c r="A93" s="81" t="s">
        <v>110</v>
      </c>
      <c r="B93" s="81"/>
      <c r="C93" s="55"/>
      <c r="D93" s="55"/>
      <c r="E93" s="89" t="n">
        <f aca="false">SUM(E89:E92)</f>
        <v>11.4</v>
      </c>
      <c r="F93" s="57"/>
      <c r="G93" s="50" t="n">
        <f aca="false">SUM(G89:G92)</f>
        <v>307167.0995</v>
      </c>
      <c r="H93" s="89"/>
      <c r="I93" s="71"/>
      <c r="J93" s="71"/>
      <c r="K93" s="71"/>
      <c r="L93" s="89"/>
      <c r="M93" s="71"/>
      <c r="N93" s="71"/>
      <c r="O93" s="71"/>
      <c r="P93" s="89"/>
      <c r="Q93" s="71"/>
      <c r="R93" s="71"/>
      <c r="S93" s="71"/>
      <c r="T93" s="89" t="n">
        <f aca="false">SUM(T89)</f>
        <v>3.9</v>
      </c>
      <c r="U93" s="89"/>
      <c r="V93" s="50" t="n">
        <f aca="false">SUM(V89)</f>
        <v>76711.60033</v>
      </c>
      <c r="W93" s="50"/>
      <c r="X93" s="50" t="n">
        <f aca="false">SUM(X89)</f>
        <v>76711.60033</v>
      </c>
      <c r="Y93" s="50"/>
      <c r="Z93" s="89" t="n">
        <f aca="false">SUM(Z89:Z90)</f>
        <v>4.2</v>
      </c>
      <c r="AA93" s="89"/>
      <c r="AB93" s="50" t="n">
        <f aca="false">SUM(AB89:AB90)</f>
        <v>131455.49917</v>
      </c>
      <c r="AC93" s="50" t="n">
        <f aca="false">SUM(AC89:AC90)</f>
        <v>123568.1692198</v>
      </c>
      <c r="AD93" s="50" t="n">
        <f aca="false">SUM(AD89:AD90)</f>
        <v>7887.3299502</v>
      </c>
      <c r="AE93" s="50"/>
      <c r="AF93" s="50" t="n">
        <f aca="false">SUM(AF91:AF92)</f>
        <v>3.3</v>
      </c>
      <c r="AG93" s="50"/>
      <c r="AH93" s="73" t="n">
        <f aca="false">SUM(AH91:AH92)</f>
        <v>99000</v>
      </c>
      <c r="AI93" s="50" t="n">
        <f aca="false">SUM(AI91:AI92)</f>
        <v>87120</v>
      </c>
      <c r="AJ93" s="51" t="n">
        <f aca="false">SUM(AJ91:AJ92)</f>
        <v>11880</v>
      </c>
      <c r="AK93" s="13"/>
      <c r="AL93" s="13"/>
    </row>
    <row r="94" s="69" customFormat="true" ht="26.25" hidden="false" customHeight="true" outlineLevel="0" collapsed="false">
      <c r="A94" s="52" t="s">
        <v>32</v>
      </c>
      <c r="B94" s="52"/>
      <c r="C94" s="82"/>
      <c r="D94" s="82"/>
      <c r="E94" s="82"/>
      <c r="F94" s="82"/>
      <c r="G94" s="50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7"/>
      <c r="V94" s="57"/>
      <c r="W94" s="57"/>
      <c r="X94" s="57"/>
      <c r="Y94" s="57"/>
      <c r="Z94" s="57"/>
      <c r="AA94" s="55"/>
      <c r="AB94" s="57"/>
      <c r="AC94" s="57"/>
      <c r="AD94" s="57"/>
      <c r="AE94" s="57"/>
      <c r="AF94" s="57"/>
      <c r="AG94" s="57"/>
      <c r="AH94" s="83"/>
      <c r="AI94" s="57"/>
      <c r="AJ94" s="80"/>
      <c r="AK94" s="13"/>
      <c r="AL94" s="13"/>
    </row>
    <row r="95" s="69" customFormat="true" ht="44.25" hidden="false" customHeight="true" outlineLevel="0" collapsed="false">
      <c r="A95" s="54" t="n">
        <v>33</v>
      </c>
      <c r="B95" s="101" t="s">
        <v>111</v>
      </c>
      <c r="C95" s="55" t="s">
        <v>31</v>
      </c>
      <c r="D95" s="55"/>
      <c r="E95" s="61" t="n">
        <v>4.4</v>
      </c>
      <c r="F95" s="84"/>
      <c r="G95" s="57" t="n">
        <v>118184.28718</v>
      </c>
      <c r="H95" s="84"/>
      <c r="I95" s="85"/>
      <c r="J95" s="85"/>
      <c r="K95" s="85"/>
      <c r="L95" s="90"/>
      <c r="M95" s="91"/>
      <c r="N95" s="85"/>
      <c r="O95" s="85"/>
      <c r="P95" s="56"/>
      <c r="Q95" s="57"/>
      <c r="R95" s="85"/>
      <c r="S95" s="85"/>
      <c r="T95" s="56"/>
      <c r="U95" s="57"/>
      <c r="V95" s="57"/>
      <c r="W95" s="57"/>
      <c r="X95" s="57"/>
      <c r="Y95" s="57"/>
      <c r="Z95" s="84" t="n">
        <v>4.4</v>
      </c>
      <c r="AA95" s="57"/>
      <c r="AB95" s="57" t="n">
        <f aca="false">G95</f>
        <v>118184.28718</v>
      </c>
      <c r="AC95" s="57" t="n">
        <f aca="false">AB95*0.94</f>
        <v>111093.2299492</v>
      </c>
      <c r="AD95" s="57" t="n">
        <f aca="false">AB95-AC95</f>
        <v>7091.05723080001</v>
      </c>
      <c r="AE95" s="57"/>
      <c r="AF95" s="57"/>
      <c r="AG95" s="57"/>
      <c r="AH95" s="83"/>
      <c r="AI95" s="57"/>
      <c r="AJ95" s="80"/>
      <c r="AK95" s="13"/>
      <c r="AL95" s="13"/>
    </row>
    <row r="96" s="69" customFormat="true" ht="63" hidden="true" customHeight="true" outlineLevel="0" collapsed="false">
      <c r="A96" s="54"/>
      <c r="B96" s="101" t="s">
        <v>112</v>
      </c>
      <c r="C96" s="55"/>
      <c r="D96" s="55"/>
      <c r="E96" s="61"/>
      <c r="F96" s="84"/>
      <c r="G96" s="57"/>
      <c r="H96" s="84"/>
      <c r="I96" s="85"/>
      <c r="J96" s="85"/>
      <c r="K96" s="85"/>
      <c r="L96" s="90"/>
      <c r="M96" s="91"/>
      <c r="N96" s="85"/>
      <c r="O96" s="85"/>
      <c r="P96" s="56"/>
      <c r="Q96" s="57"/>
      <c r="R96" s="85"/>
      <c r="S96" s="85"/>
      <c r="T96" s="56"/>
      <c r="U96" s="57"/>
      <c r="V96" s="57"/>
      <c r="W96" s="57"/>
      <c r="X96" s="57"/>
      <c r="Y96" s="57"/>
      <c r="Z96" s="84"/>
      <c r="AA96" s="57"/>
      <c r="AB96" s="57"/>
      <c r="AC96" s="57"/>
      <c r="AD96" s="57"/>
      <c r="AE96" s="57"/>
      <c r="AF96" s="56"/>
      <c r="AG96" s="57"/>
      <c r="AH96" s="83"/>
      <c r="AI96" s="83" t="n">
        <f aca="false">AH96*0.64</f>
        <v>0</v>
      </c>
      <c r="AJ96" s="80" t="n">
        <f aca="false">AH96-AI96</f>
        <v>0</v>
      </c>
      <c r="AK96" s="13"/>
      <c r="AL96" s="13"/>
    </row>
    <row r="97" s="69" customFormat="true" ht="27" hidden="false" customHeight="true" outlineLevel="0" collapsed="false">
      <c r="A97" s="81" t="s">
        <v>113</v>
      </c>
      <c r="B97" s="81"/>
      <c r="C97" s="55"/>
      <c r="D97" s="55"/>
      <c r="E97" s="89" t="n">
        <f aca="false">SUM(E95:E96)</f>
        <v>4.4</v>
      </c>
      <c r="F97" s="89"/>
      <c r="G97" s="50" t="n">
        <f aca="false">SUM(G95:G96)</f>
        <v>118184.28718</v>
      </c>
      <c r="H97" s="89" t="e">
        <f aca="false">SUM(#REF!)</f>
        <v>#REF!</v>
      </c>
      <c r="I97" s="71" t="e">
        <f aca="false">SUM(#REF!)</f>
        <v>#REF!</v>
      </c>
      <c r="J97" s="71" t="e">
        <f aca="false">SUM(#REF!)</f>
        <v>#REF!</v>
      </c>
      <c r="K97" s="71"/>
      <c r="L97" s="89" t="e">
        <f aca="false">SUM(#REF!)</f>
        <v>#REF!</v>
      </c>
      <c r="M97" s="71" t="e">
        <f aca="false">SUM(#REF!)</f>
        <v>#REF!</v>
      </c>
      <c r="N97" s="71" t="e">
        <f aca="false">SUM(#REF!)</f>
        <v>#REF!</v>
      </c>
      <c r="O97" s="71" t="e">
        <f aca="false">SUM(#REF!)</f>
        <v>#REF!</v>
      </c>
      <c r="P97" s="89" t="e">
        <f aca="false">SUM(#REF!)</f>
        <v>#REF!</v>
      </c>
      <c r="Q97" s="71" t="e">
        <f aca="false">SUM(#REF!)</f>
        <v>#REF!</v>
      </c>
      <c r="R97" s="71" t="e">
        <f aca="false">SUM(#REF!)</f>
        <v>#REF!</v>
      </c>
      <c r="S97" s="71"/>
      <c r="T97" s="89"/>
      <c r="U97" s="50"/>
      <c r="V97" s="50"/>
      <c r="W97" s="50"/>
      <c r="X97" s="50"/>
      <c r="Y97" s="50"/>
      <c r="Z97" s="89" t="n">
        <f aca="false">SUM(Z95:Z95)</f>
        <v>4.4</v>
      </c>
      <c r="AA97" s="89"/>
      <c r="AB97" s="50" t="n">
        <f aca="false">SUM(AB95:AB95)</f>
        <v>118184.28718</v>
      </c>
      <c r="AC97" s="50" t="n">
        <f aca="false">SUM(AC95:AC95)</f>
        <v>111093.2299492</v>
      </c>
      <c r="AD97" s="50" t="n">
        <f aca="false">SUM(AD95:AD95)</f>
        <v>7091.05723080001</v>
      </c>
      <c r="AE97" s="50"/>
      <c r="AF97" s="50"/>
      <c r="AG97" s="50"/>
      <c r="AH97" s="73"/>
      <c r="AI97" s="50" t="n">
        <f aca="false">SUM(AI96)</f>
        <v>0</v>
      </c>
      <c r="AJ97" s="51" t="n">
        <f aca="false">SUM(AJ96)</f>
        <v>0</v>
      </c>
      <c r="AK97" s="13"/>
      <c r="AL97" s="13"/>
    </row>
    <row r="98" s="69" customFormat="true" ht="30" hidden="false" customHeight="true" outlineLevel="0" collapsed="false">
      <c r="A98" s="81"/>
      <c r="B98" s="102" t="s">
        <v>114</v>
      </c>
      <c r="C98" s="55"/>
      <c r="D98" s="55"/>
      <c r="E98" s="50"/>
      <c r="F98" s="50"/>
      <c r="G98" s="50"/>
      <c r="H98" s="89"/>
      <c r="I98" s="71"/>
      <c r="J98" s="71"/>
      <c r="K98" s="71"/>
      <c r="L98" s="89"/>
      <c r="M98" s="71"/>
      <c r="N98" s="71"/>
      <c r="O98" s="71"/>
      <c r="P98" s="50"/>
      <c r="Q98" s="71"/>
      <c r="R98" s="71"/>
      <c r="S98" s="71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73"/>
      <c r="AI98" s="50"/>
      <c r="AJ98" s="51"/>
      <c r="AK98" s="13"/>
      <c r="AL98" s="13"/>
    </row>
    <row r="99" s="69" customFormat="true" ht="45" hidden="false" customHeight="true" outlineLevel="0" collapsed="false">
      <c r="A99" s="54" t="n">
        <v>34</v>
      </c>
      <c r="B99" s="101" t="s">
        <v>115</v>
      </c>
      <c r="C99" s="55" t="s">
        <v>31</v>
      </c>
      <c r="D99" s="55"/>
      <c r="E99" s="61" t="n">
        <v>3.1</v>
      </c>
      <c r="F99" s="50"/>
      <c r="G99" s="57" t="n">
        <v>85300.8</v>
      </c>
      <c r="H99" s="89"/>
      <c r="I99" s="71"/>
      <c r="J99" s="71"/>
      <c r="K99" s="71"/>
      <c r="L99" s="89"/>
      <c r="M99" s="71"/>
      <c r="N99" s="71"/>
      <c r="O99" s="71"/>
      <c r="P99" s="50"/>
      <c r="Q99" s="71"/>
      <c r="R99" s="71"/>
      <c r="S99" s="71"/>
      <c r="T99" s="50"/>
      <c r="U99" s="50"/>
      <c r="V99" s="50"/>
      <c r="W99" s="50"/>
      <c r="X99" s="50"/>
      <c r="Y99" s="50"/>
      <c r="Z99" s="56" t="n">
        <v>3.1</v>
      </c>
      <c r="AA99" s="50"/>
      <c r="AB99" s="57" t="n">
        <f aca="false">G99</f>
        <v>85300.8</v>
      </c>
      <c r="AC99" s="57" t="n">
        <f aca="false">AB99*0.94</f>
        <v>80182.752</v>
      </c>
      <c r="AD99" s="57" t="n">
        <f aca="false">AB99-AC99</f>
        <v>5118.04800000001</v>
      </c>
      <c r="AE99" s="50"/>
      <c r="AF99" s="50"/>
      <c r="AG99" s="50"/>
      <c r="AH99" s="73"/>
      <c r="AI99" s="50"/>
      <c r="AJ99" s="51"/>
      <c r="AK99" s="13"/>
      <c r="AL99" s="13"/>
    </row>
    <row r="100" s="69" customFormat="true" ht="32.25" hidden="false" customHeight="true" outlineLevel="0" collapsed="false">
      <c r="A100" s="81" t="s">
        <v>116</v>
      </c>
      <c r="B100" s="81"/>
      <c r="C100" s="55"/>
      <c r="D100" s="55"/>
      <c r="E100" s="103" t="n">
        <f aca="false">E99</f>
        <v>3.1</v>
      </c>
      <c r="F100" s="50"/>
      <c r="G100" s="50" t="n">
        <f aca="false">G99</f>
        <v>85300.8</v>
      </c>
      <c r="H100" s="89"/>
      <c r="I100" s="71"/>
      <c r="J100" s="71"/>
      <c r="K100" s="71"/>
      <c r="L100" s="89"/>
      <c r="M100" s="71"/>
      <c r="N100" s="71"/>
      <c r="O100" s="71"/>
      <c r="P100" s="50"/>
      <c r="Q100" s="71"/>
      <c r="R100" s="71"/>
      <c r="S100" s="71"/>
      <c r="T100" s="50"/>
      <c r="U100" s="50"/>
      <c r="V100" s="50"/>
      <c r="W100" s="50"/>
      <c r="X100" s="50"/>
      <c r="Y100" s="50"/>
      <c r="Z100" s="103" t="n">
        <f aca="false">Z99</f>
        <v>3.1</v>
      </c>
      <c r="AA100" s="50"/>
      <c r="AB100" s="50" t="n">
        <f aca="false">AB99</f>
        <v>85300.8</v>
      </c>
      <c r="AC100" s="50" t="n">
        <f aca="false">AC99</f>
        <v>80182.752</v>
      </c>
      <c r="AD100" s="50" t="n">
        <f aca="false">AD99</f>
        <v>5118.04800000001</v>
      </c>
      <c r="AE100" s="50"/>
      <c r="AF100" s="50"/>
      <c r="AG100" s="50"/>
      <c r="AH100" s="73"/>
      <c r="AI100" s="50"/>
      <c r="AJ100" s="51"/>
      <c r="AK100" s="13"/>
      <c r="AL100" s="13"/>
    </row>
    <row r="101" s="69" customFormat="true" ht="32.25" hidden="false" customHeight="true" outlineLevel="0" collapsed="false">
      <c r="A101" s="52" t="s">
        <v>117</v>
      </c>
      <c r="B101" s="52"/>
      <c r="C101" s="55"/>
      <c r="D101" s="55"/>
      <c r="E101" s="103"/>
      <c r="F101" s="50"/>
      <c r="G101" s="50"/>
      <c r="H101" s="89"/>
      <c r="I101" s="71"/>
      <c r="J101" s="71"/>
      <c r="K101" s="71"/>
      <c r="L101" s="89"/>
      <c r="M101" s="71"/>
      <c r="N101" s="71"/>
      <c r="O101" s="71"/>
      <c r="P101" s="50"/>
      <c r="Q101" s="71"/>
      <c r="R101" s="71"/>
      <c r="S101" s="71"/>
      <c r="T101" s="50"/>
      <c r="U101" s="50"/>
      <c r="V101" s="50"/>
      <c r="W101" s="50"/>
      <c r="X101" s="50"/>
      <c r="Y101" s="50"/>
      <c r="Z101" s="103"/>
      <c r="AA101" s="50"/>
      <c r="AB101" s="50"/>
      <c r="AC101" s="50"/>
      <c r="AD101" s="50"/>
      <c r="AE101" s="50"/>
      <c r="AF101" s="50"/>
      <c r="AG101" s="50"/>
      <c r="AH101" s="73"/>
      <c r="AI101" s="50"/>
      <c r="AJ101" s="51"/>
      <c r="AK101" s="13"/>
      <c r="AL101" s="13"/>
    </row>
    <row r="102" s="69" customFormat="true" ht="66" hidden="false" customHeight="true" outlineLevel="0" collapsed="false">
      <c r="A102" s="54" t="n">
        <v>35</v>
      </c>
      <c r="B102" s="101" t="s">
        <v>118</v>
      </c>
      <c r="C102" s="55" t="s">
        <v>31</v>
      </c>
      <c r="D102" s="55"/>
      <c r="E102" s="61" t="n">
        <v>13.75</v>
      </c>
      <c r="F102" s="50"/>
      <c r="G102" s="57" t="n">
        <f aca="false">V102+AB102</f>
        <v>323992.47899</v>
      </c>
      <c r="H102" s="89"/>
      <c r="I102" s="71"/>
      <c r="J102" s="71"/>
      <c r="K102" s="71"/>
      <c r="L102" s="89"/>
      <c r="M102" s="71"/>
      <c r="N102" s="71"/>
      <c r="O102" s="71"/>
      <c r="P102" s="50"/>
      <c r="Q102" s="71"/>
      <c r="R102" s="71"/>
      <c r="S102" s="71"/>
      <c r="T102" s="50"/>
      <c r="U102" s="50"/>
      <c r="V102" s="57" t="n">
        <v>150000</v>
      </c>
      <c r="W102" s="50"/>
      <c r="X102" s="57" t="n">
        <f aca="false">V102</f>
        <v>150000</v>
      </c>
      <c r="Y102" s="50"/>
      <c r="Z102" s="61" t="n">
        <f aca="false">E102</f>
        <v>13.75</v>
      </c>
      <c r="AA102" s="50"/>
      <c r="AB102" s="57" t="n">
        <v>173992.47899</v>
      </c>
      <c r="AC102" s="57" t="n">
        <f aca="false">AB102*0.94</f>
        <v>163552.9302506</v>
      </c>
      <c r="AD102" s="57" t="n">
        <f aca="false">AB102-AC102</f>
        <v>10439.5487394</v>
      </c>
      <c r="AE102" s="50"/>
      <c r="AF102" s="50"/>
      <c r="AG102" s="50"/>
      <c r="AH102" s="73"/>
      <c r="AI102" s="50"/>
      <c r="AJ102" s="51"/>
      <c r="AK102" s="13"/>
      <c r="AL102" s="13"/>
    </row>
    <row r="103" s="69" customFormat="true" ht="29.25" hidden="false" customHeight="true" outlineLevel="0" collapsed="false">
      <c r="A103" s="54" t="n">
        <v>36</v>
      </c>
      <c r="B103" s="101" t="s">
        <v>119</v>
      </c>
      <c r="C103" s="55" t="s">
        <v>31</v>
      </c>
      <c r="D103" s="55"/>
      <c r="E103" s="61" t="n">
        <v>2.226</v>
      </c>
      <c r="F103" s="50"/>
      <c r="G103" s="57" t="n">
        <v>60464.04242</v>
      </c>
      <c r="H103" s="89"/>
      <c r="I103" s="71"/>
      <c r="J103" s="71"/>
      <c r="K103" s="71"/>
      <c r="L103" s="89"/>
      <c r="M103" s="71"/>
      <c r="N103" s="71"/>
      <c r="O103" s="71"/>
      <c r="P103" s="50"/>
      <c r="Q103" s="71"/>
      <c r="R103" s="71"/>
      <c r="S103" s="71"/>
      <c r="T103" s="50"/>
      <c r="U103" s="50"/>
      <c r="V103" s="57"/>
      <c r="W103" s="50"/>
      <c r="X103" s="57"/>
      <c r="Y103" s="50"/>
      <c r="Z103" s="61" t="n">
        <f aca="false">E103</f>
        <v>2.226</v>
      </c>
      <c r="AA103" s="50"/>
      <c r="AB103" s="57" t="n">
        <f aca="false">G103</f>
        <v>60464.04242</v>
      </c>
      <c r="AC103" s="57" t="n">
        <f aca="false">AB103*0.94</f>
        <v>56836.1998748</v>
      </c>
      <c r="AD103" s="57" t="n">
        <f aca="false">AB103-AC103</f>
        <v>3627.8425452</v>
      </c>
      <c r="AE103" s="50"/>
      <c r="AF103" s="50"/>
      <c r="AG103" s="50"/>
      <c r="AH103" s="73"/>
      <c r="AI103" s="50"/>
      <c r="AJ103" s="51"/>
      <c r="AK103" s="13"/>
      <c r="AL103" s="13"/>
    </row>
    <row r="104" s="69" customFormat="true" ht="54" hidden="false" customHeight="true" outlineLevel="0" collapsed="false">
      <c r="A104" s="54" t="n">
        <v>37</v>
      </c>
      <c r="B104" s="97" t="s">
        <v>120</v>
      </c>
      <c r="C104" s="55" t="s">
        <v>31</v>
      </c>
      <c r="D104" s="55"/>
      <c r="E104" s="61" t="n">
        <v>9.647</v>
      </c>
      <c r="F104" s="61"/>
      <c r="G104" s="57" t="n">
        <v>261742.54838</v>
      </c>
      <c r="H104" s="89"/>
      <c r="I104" s="71"/>
      <c r="J104" s="71"/>
      <c r="K104" s="71"/>
      <c r="L104" s="89"/>
      <c r="M104" s="71"/>
      <c r="N104" s="71"/>
      <c r="O104" s="71"/>
      <c r="P104" s="50"/>
      <c r="Q104" s="71"/>
      <c r="R104" s="71"/>
      <c r="S104" s="71"/>
      <c r="T104" s="50"/>
      <c r="U104" s="50"/>
      <c r="V104" s="57"/>
      <c r="W104" s="50"/>
      <c r="X104" s="57"/>
      <c r="Y104" s="50"/>
      <c r="Z104" s="61"/>
      <c r="AA104" s="50"/>
      <c r="AB104" s="57" t="n">
        <f aca="false">52643.62316+55242.12038+96.30842-4.08214</f>
        <v>107977.96982</v>
      </c>
      <c r="AC104" s="57" t="n">
        <f aca="false">AB104*0.94</f>
        <v>101499.2916308</v>
      </c>
      <c r="AD104" s="57" t="n">
        <f aca="false">AB104-AC104</f>
        <v>6478.6781892</v>
      </c>
      <c r="AE104" s="50"/>
      <c r="AF104" s="56" t="n">
        <f aca="false">E104</f>
        <v>9.647</v>
      </c>
      <c r="AG104" s="57"/>
      <c r="AH104" s="83" t="n">
        <f aca="false">G104-AB104</f>
        <v>153764.57856</v>
      </c>
      <c r="AI104" s="57" t="n">
        <f aca="false">AH104*0.88</f>
        <v>135312.8291328</v>
      </c>
      <c r="AJ104" s="80" t="n">
        <f aca="false">AH104-AI104</f>
        <v>18451.7494272</v>
      </c>
      <c r="AK104" s="56"/>
      <c r="AL104" s="57"/>
      <c r="AM104" s="83"/>
    </row>
    <row r="105" s="69" customFormat="true" ht="50.25" hidden="false" customHeight="true" outlineLevel="0" collapsed="false">
      <c r="A105" s="54" t="n">
        <v>38</v>
      </c>
      <c r="B105" s="101" t="s">
        <v>121</v>
      </c>
      <c r="C105" s="55" t="s">
        <v>31</v>
      </c>
      <c r="D105" s="55"/>
      <c r="E105" s="61" t="n">
        <v>2.8</v>
      </c>
      <c r="F105" s="50"/>
      <c r="G105" s="57" t="n">
        <f aca="false">E105*30000</f>
        <v>84000</v>
      </c>
      <c r="H105" s="89"/>
      <c r="I105" s="71"/>
      <c r="J105" s="71"/>
      <c r="K105" s="71"/>
      <c r="L105" s="89"/>
      <c r="M105" s="71"/>
      <c r="N105" s="71"/>
      <c r="O105" s="71"/>
      <c r="P105" s="50"/>
      <c r="Q105" s="71"/>
      <c r="R105" s="71"/>
      <c r="S105" s="71"/>
      <c r="T105" s="50"/>
      <c r="U105" s="50"/>
      <c r="V105" s="57"/>
      <c r="W105" s="50"/>
      <c r="X105" s="57"/>
      <c r="Y105" s="50"/>
      <c r="Z105" s="61"/>
      <c r="AA105" s="50"/>
      <c r="AB105" s="57"/>
      <c r="AC105" s="57"/>
      <c r="AD105" s="57"/>
      <c r="AE105" s="50"/>
      <c r="AF105" s="56" t="n">
        <f aca="false">E105</f>
        <v>2.8</v>
      </c>
      <c r="AG105" s="57"/>
      <c r="AH105" s="83" t="n">
        <f aca="false">G105</f>
        <v>84000</v>
      </c>
      <c r="AI105" s="57" t="n">
        <f aca="false">AH105*0.88</f>
        <v>73920</v>
      </c>
      <c r="AJ105" s="80" t="n">
        <f aca="false">AH105-AI105</f>
        <v>10080</v>
      </c>
      <c r="AK105" s="13"/>
      <c r="AL105" s="13"/>
    </row>
    <row r="106" s="69" customFormat="true" ht="36.75" hidden="false" customHeight="true" outlineLevel="0" collapsed="false">
      <c r="A106" s="81" t="s">
        <v>122</v>
      </c>
      <c r="B106" s="81"/>
      <c r="C106" s="81"/>
      <c r="D106" s="55"/>
      <c r="E106" s="103" t="n">
        <f aca="false">SUM(E102:E105)</f>
        <v>28.423</v>
      </c>
      <c r="F106" s="57"/>
      <c r="G106" s="50" t="n">
        <f aca="false">SUM(G102:G105)</f>
        <v>730199.06979</v>
      </c>
      <c r="H106" s="89"/>
      <c r="I106" s="71"/>
      <c r="J106" s="71"/>
      <c r="K106" s="71"/>
      <c r="L106" s="89"/>
      <c r="M106" s="71"/>
      <c r="N106" s="71"/>
      <c r="O106" s="71"/>
      <c r="P106" s="50"/>
      <c r="Q106" s="71"/>
      <c r="R106" s="71"/>
      <c r="S106" s="71"/>
      <c r="T106" s="50"/>
      <c r="U106" s="50"/>
      <c r="V106" s="50" t="n">
        <f aca="false">SUM(V102)</f>
        <v>150000</v>
      </c>
      <c r="W106" s="50"/>
      <c r="X106" s="50" t="n">
        <f aca="false">SUM(X102)</f>
        <v>150000</v>
      </c>
      <c r="Y106" s="50"/>
      <c r="Z106" s="104" t="n">
        <f aca="false">SUM(Z102:Z105)</f>
        <v>15.976</v>
      </c>
      <c r="AA106" s="50"/>
      <c r="AB106" s="50" t="n">
        <f aca="false">SUM(AB102:AB105)</f>
        <v>342434.49123</v>
      </c>
      <c r="AC106" s="50" t="n">
        <f aca="false">SUM(AC102:AC105)</f>
        <v>321888.4217562</v>
      </c>
      <c r="AD106" s="50" t="n">
        <f aca="false">SUM(AD102:AD105)</f>
        <v>20546.0694738</v>
      </c>
      <c r="AE106" s="50"/>
      <c r="AF106" s="72" t="n">
        <f aca="false">SUM(AF104:AF105)</f>
        <v>12.447</v>
      </c>
      <c r="AG106" s="50"/>
      <c r="AH106" s="73" t="n">
        <f aca="false">SUM(AH104:AH105)</f>
        <v>237764.57856</v>
      </c>
      <c r="AI106" s="50" t="n">
        <f aca="false">SUM(AI104:AI105)</f>
        <v>209232.8291328</v>
      </c>
      <c r="AJ106" s="51" t="n">
        <f aca="false">SUM(AJ104:AJ105)</f>
        <v>28531.7494272</v>
      </c>
      <c r="AK106" s="13"/>
      <c r="AL106" s="13"/>
    </row>
    <row r="107" s="69" customFormat="true" ht="33" hidden="false" customHeight="true" outlineLevel="0" collapsed="false">
      <c r="A107" s="52" t="s">
        <v>123</v>
      </c>
      <c r="B107" s="52"/>
      <c r="C107" s="105"/>
      <c r="D107" s="106"/>
      <c r="E107" s="89"/>
      <c r="F107" s="89"/>
      <c r="G107" s="50"/>
      <c r="H107" s="89"/>
      <c r="I107" s="71"/>
      <c r="J107" s="71"/>
      <c r="K107" s="71"/>
      <c r="L107" s="89"/>
      <c r="M107" s="71"/>
      <c r="N107" s="71"/>
      <c r="O107" s="71"/>
      <c r="P107" s="89"/>
      <c r="Q107" s="71"/>
      <c r="R107" s="71"/>
      <c r="S107" s="71"/>
      <c r="T107" s="89"/>
      <c r="U107" s="50"/>
      <c r="V107" s="50"/>
      <c r="W107" s="50"/>
      <c r="X107" s="50"/>
      <c r="Y107" s="50"/>
      <c r="Z107" s="50"/>
      <c r="AA107" s="89"/>
      <c r="AB107" s="50"/>
      <c r="AC107" s="50"/>
      <c r="AD107" s="50"/>
      <c r="AE107" s="50"/>
      <c r="AF107" s="50"/>
      <c r="AG107" s="50"/>
      <c r="AH107" s="73"/>
      <c r="AI107" s="50"/>
      <c r="AJ107" s="51"/>
      <c r="AK107" s="13"/>
      <c r="AL107" s="13"/>
    </row>
    <row r="108" s="69" customFormat="true" ht="60" hidden="false" customHeight="true" outlineLevel="0" collapsed="false">
      <c r="A108" s="54" t="n">
        <v>39</v>
      </c>
      <c r="B108" s="101" t="s">
        <v>124</v>
      </c>
      <c r="C108" s="55" t="s">
        <v>31</v>
      </c>
      <c r="D108" s="106"/>
      <c r="E108" s="84" t="n">
        <f aca="false">3.5+8.3</f>
        <v>11.8</v>
      </c>
      <c r="F108" s="89"/>
      <c r="G108" s="57" t="n">
        <f aca="false">AB108+AH108</f>
        <v>339326.55614</v>
      </c>
      <c r="H108" s="89"/>
      <c r="I108" s="71"/>
      <c r="J108" s="71"/>
      <c r="K108" s="71"/>
      <c r="L108" s="89"/>
      <c r="M108" s="71"/>
      <c r="N108" s="71"/>
      <c r="O108" s="71"/>
      <c r="P108" s="89"/>
      <c r="Q108" s="71"/>
      <c r="R108" s="71"/>
      <c r="S108" s="71"/>
      <c r="T108" s="89"/>
      <c r="U108" s="50"/>
      <c r="V108" s="50"/>
      <c r="W108" s="50"/>
      <c r="X108" s="50"/>
      <c r="Y108" s="50"/>
      <c r="Z108" s="84" t="n">
        <v>3.5</v>
      </c>
      <c r="AA108" s="89"/>
      <c r="AB108" s="57" t="n">
        <v>90326.55614</v>
      </c>
      <c r="AC108" s="57" t="n">
        <f aca="false">AB108*0.94</f>
        <v>84906.9627716</v>
      </c>
      <c r="AD108" s="57" t="n">
        <f aca="false">AB108-AC108</f>
        <v>5419.59336840001</v>
      </c>
      <c r="AE108" s="50"/>
      <c r="AF108" s="84" t="n">
        <v>8.3</v>
      </c>
      <c r="AG108" s="50"/>
      <c r="AH108" s="57" t="n">
        <f aca="false">AF108*30000</f>
        <v>249000</v>
      </c>
      <c r="AI108" s="57" t="n">
        <f aca="false">AH108*0.88</f>
        <v>219120</v>
      </c>
      <c r="AJ108" s="80" t="n">
        <f aca="false">AH108-AI108</f>
        <v>29880</v>
      </c>
      <c r="AK108" s="13"/>
      <c r="AL108" s="13"/>
    </row>
    <row r="109" s="69" customFormat="true" ht="46.5" hidden="true" customHeight="true" outlineLevel="0" collapsed="false">
      <c r="A109" s="54" t="n">
        <v>40</v>
      </c>
      <c r="B109" s="101" t="s">
        <v>125</v>
      </c>
      <c r="C109" s="55" t="s">
        <v>31</v>
      </c>
      <c r="D109" s="106"/>
      <c r="E109" s="84"/>
      <c r="F109" s="89"/>
      <c r="G109" s="57"/>
      <c r="H109" s="89"/>
      <c r="I109" s="71"/>
      <c r="J109" s="71"/>
      <c r="K109" s="71"/>
      <c r="L109" s="89"/>
      <c r="M109" s="71"/>
      <c r="N109" s="71"/>
      <c r="O109" s="71"/>
      <c r="P109" s="89"/>
      <c r="Q109" s="71"/>
      <c r="R109" s="71"/>
      <c r="S109" s="71"/>
      <c r="T109" s="89"/>
      <c r="U109" s="50"/>
      <c r="V109" s="50"/>
      <c r="W109" s="50"/>
      <c r="X109" s="50"/>
      <c r="Y109" s="50"/>
      <c r="Z109" s="84"/>
      <c r="AA109" s="89"/>
      <c r="AB109" s="57"/>
      <c r="AC109" s="57"/>
      <c r="AD109" s="57"/>
      <c r="AE109" s="50"/>
      <c r="AF109" s="84"/>
      <c r="AG109" s="89"/>
      <c r="AH109" s="57"/>
      <c r="AI109" s="57"/>
      <c r="AJ109" s="80"/>
      <c r="AK109" s="13"/>
      <c r="AL109" s="13"/>
    </row>
    <row r="110" s="69" customFormat="true" ht="34.5" hidden="false" customHeight="true" outlineLevel="0" collapsed="false">
      <c r="A110" s="81" t="s">
        <v>126</v>
      </c>
      <c r="B110" s="81"/>
      <c r="C110" s="55"/>
      <c r="D110" s="55"/>
      <c r="E110" s="103" t="n">
        <f aca="false">SUM(E108:E109)</f>
        <v>11.8</v>
      </c>
      <c r="F110" s="57"/>
      <c r="G110" s="50" t="n">
        <f aca="false">SUM(G108:G109)</f>
        <v>339326.55614</v>
      </c>
      <c r="H110" s="89"/>
      <c r="I110" s="71"/>
      <c r="J110" s="71"/>
      <c r="K110" s="71"/>
      <c r="L110" s="89"/>
      <c r="M110" s="71"/>
      <c r="N110" s="71"/>
      <c r="O110" s="71"/>
      <c r="P110" s="50"/>
      <c r="Q110" s="71"/>
      <c r="R110" s="71"/>
      <c r="S110" s="71"/>
      <c r="T110" s="50"/>
      <c r="U110" s="50"/>
      <c r="V110" s="50"/>
      <c r="W110" s="50"/>
      <c r="X110" s="50"/>
      <c r="Y110" s="50"/>
      <c r="Z110" s="103" t="n">
        <f aca="false">Z108</f>
        <v>3.5</v>
      </c>
      <c r="AA110" s="50"/>
      <c r="AB110" s="50" t="n">
        <f aca="false">AB108</f>
        <v>90326.55614</v>
      </c>
      <c r="AC110" s="50" t="n">
        <f aca="false">AC108</f>
        <v>84906.9627716</v>
      </c>
      <c r="AD110" s="50" t="n">
        <f aca="false">AD108</f>
        <v>5419.59336840001</v>
      </c>
      <c r="AE110" s="50"/>
      <c r="AF110" s="50" t="n">
        <f aca="false">AF108</f>
        <v>8.3</v>
      </c>
      <c r="AG110" s="50"/>
      <c r="AH110" s="73" t="n">
        <f aca="false">AH108</f>
        <v>249000</v>
      </c>
      <c r="AI110" s="50" t="n">
        <f aca="false">AI108</f>
        <v>219120</v>
      </c>
      <c r="AJ110" s="51" t="n">
        <f aca="false">AJ108</f>
        <v>29880</v>
      </c>
      <c r="AK110" s="13"/>
      <c r="AL110" s="13"/>
    </row>
    <row r="111" s="69" customFormat="true" ht="29.25" hidden="false" customHeight="true" outlineLevel="0" collapsed="false">
      <c r="A111" s="52" t="s">
        <v>127</v>
      </c>
      <c r="B111" s="52"/>
      <c r="C111" s="82"/>
      <c r="D111" s="82"/>
      <c r="E111" s="82"/>
      <c r="F111" s="82"/>
      <c r="G111" s="50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7"/>
      <c r="V111" s="57"/>
      <c r="W111" s="57"/>
      <c r="X111" s="57"/>
      <c r="Y111" s="57"/>
      <c r="Z111" s="57"/>
      <c r="AA111" s="55"/>
      <c r="AB111" s="57"/>
      <c r="AC111" s="57"/>
      <c r="AD111" s="57"/>
      <c r="AE111" s="57"/>
      <c r="AF111" s="57"/>
      <c r="AG111" s="57"/>
      <c r="AH111" s="83"/>
      <c r="AI111" s="57"/>
      <c r="AJ111" s="80"/>
      <c r="AK111" s="13"/>
      <c r="AL111" s="13"/>
    </row>
    <row r="112" s="69" customFormat="true" ht="45" hidden="false" customHeight="true" outlineLevel="0" collapsed="false">
      <c r="A112" s="54" t="n">
        <v>40</v>
      </c>
      <c r="B112" s="101" t="s">
        <v>128</v>
      </c>
      <c r="C112" s="55" t="s">
        <v>31</v>
      </c>
      <c r="D112" s="55"/>
      <c r="E112" s="61" t="n">
        <v>2.82</v>
      </c>
      <c r="F112" s="61"/>
      <c r="G112" s="57" t="n">
        <v>73334.08314</v>
      </c>
      <c r="H112" s="84"/>
      <c r="I112" s="85"/>
      <c r="J112" s="85"/>
      <c r="K112" s="85"/>
      <c r="L112" s="90"/>
      <c r="M112" s="91"/>
      <c r="N112" s="85"/>
      <c r="O112" s="85" t="s">
        <v>129</v>
      </c>
      <c r="P112" s="90"/>
      <c r="Q112" s="91"/>
      <c r="R112" s="85"/>
      <c r="S112" s="85"/>
      <c r="T112" s="56" t="n">
        <f aca="false">E112</f>
        <v>2.82</v>
      </c>
      <c r="U112" s="57"/>
      <c r="V112" s="57" t="n">
        <f aca="false">G112</f>
        <v>73334.08314</v>
      </c>
      <c r="W112" s="57"/>
      <c r="X112" s="57" t="n">
        <f aca="false">V112</f>
        <v>73334.08314</v>
      </c>
      <c r="Y112" s="57"/>
      <c r="Z112" s="61"/>
      <c r="AA112" s="56"/>
      <c r="AB112" s="57"/>
      <c r="AC112" s="57"/>
      <c r="AD112" s="57"/>
      <c r="AE112" s="57"/>
      <c r="AF112" s="57"/>
      <c r="AG112" s="57"/>
      <c r="AH112" s="83"/>
      <c r="AI112" s="57"/>
      <c r="AJ112" s="80"/>
      <c r="AK112" s="13"/>
      <c r="AL112" s="13"/>
    </row>
    <row r="113" s="69" customFormat="true" ht="66.75" hidden="false" customHeight="true" outlineLevel="0" collapsed="false">
      <c r="A113" s="54" t="n">
        <v>41</v>
      </c>
      <c r="B113" s="101" t="s">
        <v>130</v>
      </c>
      <c r="C113" s="55" t="s">
        <v>31</v>
      </c>
      <c r="D113" s="55"/>
      <c r="E113" s="61" t="n">
        <v>3.5</v>
      </c>
      <c r="F113" s="61"/>
      <c r="G113" s="57" t="n">
        <v>84438</v>
      </c>
      <c r="H113" s="84"/>
      <c r="I113" s="85"/>
      <c r="J113" s="85"/>
      <c r="K113" s="85"/>
      <c r="L113" s="90"/>
      <c r="M113" s="91"/>
      <c r="N113" s="85"/>
      <c r="O113" s="85"/>
      <c r="P113" s="90"/>
      <c r="Q113" s="91"/>
      <c r="R113" s="85"/>
      <c r="S113" s="85"/>
      <c r="T113" s="56"/>
      <c r="U113" s="57"/>
      <c r="V113" s="57"/>
      <c r="W113" s="57"/>
      <c r="X113" s="57"/>
      <c r="Y113" s="57"/>
      <c r="Z113" s="61" t="n">
        <f aca="false">E113</f>
        <v>3.5</v>
      </c>
      <c r="AA113" s="56"/>
      <c r="AB113" s="57" t="n">
        <f aca="false">G113</f>
        <v>84438</v>
      </c>
      <c r="AC113" s="57" t="n">
        <f aca="false">AB113*0.94</f>
        <v>79371.72</v>
      </c>
      <c r="AD113" s="57" t="n">
        <f aca="false">AB113-AC113</f>
        <v>5066.28</v>
      </c>
      <c r="AE113" s="57"/>
      <c r="AF113" s="57"/>
      <c r="AG113" s="57"/>
      <c r="AH113" s="83"/>
      <c r="AI113" s="57"/>
      <c r="AJ113" s="80"/>
      <c r="AK113" s="13"/>
      <c r="AL113" s="13"/>
    </row>
    <row r="114" s="69" customFormat="true" ht="64.5" hidden="false" customHeight="true" outlineLevel="0" collapsed="false">
      <c r="A114" s="54" t="n">
        <v>42</v>
      </c>
      <c r="B114" s="101" t="s">
        <v>131</v>
      </c>
      <c r="C114" s="55" t="s">
        <v>31</v>
      </c>
      <c r="D114" s="55"/>
      <c r="E114" s="61" t="n">
        <v>6.3</v>
      </c>
      <c r="F114" s="61"/>
      <c r="G114" s="57" t="n">
        <f aca="false">E114*30000</f>
        <v>189000</v>
      </c>
      <c r="H114" s="84"/>
      <c r="I114" s="85"/>
      <c r="J114" s="85"/>
      <c r="K114" s="85"/>
      <c r="L114" s="90"/>
      <c r="M114" s="91"/>
      <c r="N114" s="85"/>
      <c r="O114" s="85"/>
      <c r="P114" s="90"/>
      <c r="Q114" s="91"/>
      <c r="R114" s="85"/>
      <c r="S114" s="85"/>
      <c r="T114" s="56"/>
      <c r="U114" s="57"/>
      <c r="V114" s="57"/>
      <c r="W114" s="57"/>
      <c r="X114" s="57" t="s">
        <v>129</v>
      </c>
      <c r="Y114" s="57"/>
      <c r="Z114" s="61"/>
      <c r="AA114" s="56"/>
      <c r="AB114" s="57"/>
      <c r="AC114" s="57"/>
      <c r="AD114" s="57"/>
      <c r="AE114" s="57"/>
      <c r="AF114" s="56" t="n">
        <f aca="false">E114</f>
        <v>6.3</v>
      </c>
      <c r="AG114" s="57"/>
      <c r="AH114" s="83" t="n">
        <f aca="false">G114</f>
        <v>189000</v>
      </c>
      <c r="AI114" s="57" t="n">
        <f aca="false">AH114*0.88</f>
        <v>166320</v>
      </c>
      <c r="AJ114" s="80" t="n">
        <f aca="false">AH114-AI114</f>
        <v>22680</v>
      </c>
      <c r="AK114" s="13"/>
      <c r="AL114" s="13"/>
    </row>
    <row r="115" s="69" customFormat="true" ht="34.5" hidden="false" customHeight="true" outlineLevel="0" collapsed="false">
      <c r="A115" s="81" t="s">
        <v>132</v>
      </c>
      <c r="B115" s="81"/>
      <c r="C115" s="106"/>
      <c r="D115" s="106"/>
      <c r="E115" s="89" t="n">
        <f aca="false">SUM(E112:E114)</f>
        <v>12.62</v>
      </c>
      <c r="F115" s="57"/>
      <c r="G115" s="50" t="n">
        <f aca="false">SUM(G112:G114)</f>
        <v>346772.08314</v>
      </c>
      <c r="H115" s="89" t="e">
        <f aca="false">SUM(#REF!)</f>
        <v>#REF!</v>
      </c>
      <c r="I115" s="71" t="e">
        <f aca="false">SUM(#REF!)</f>
        <v>#REF!</v>
      </c>
      <c r="J115" s="71" t="e">
        <f aca="false">SUM(#REF!)</f>
        <v>#REF!</v>
      </c>
      <c r="K115" s="71"/>
      <c r="L115" s="89" t="e">
        <f aca="false">SUM(#REF!)</f>
        <v>#REF!</v>
      </c>
      <c r="M115" s="71" t="e">
        <f aca="false">SUM(#REF!)</f>
        <v>#REF!</v>
      </c>
      <c r="N115" s="71" t="e">
        <f aca="false">SUM(#REF!)</f>
        <v>#REF!</v>
      </c>
      <c r="O115" s="71"/>
      <c r="P115" s="89" t="n">
        <f aca="false">SUM(P112:P112)</f>
        <v>0</v>
      </c>
      <c r="Q115" s="71" t="n">
        <f aca="false">SUM(Q112:Q112)</f>
        <v>0</v>
      </c>
      <c r="R115" s="71" t="n">
        <f aca="false">SUM(R112:R112)</f>
        <v>0</v>
      </c>
      <c r="S115" s="71"/>
      <c r="T115" s="89" t="n">
        <f aca="false">SUM(T112:T112)</f>
        <v>2.82</v>
      </c>
      <c r="U115" s="50" t="n">
        <f aca="false">SUM(U112:U112)</f>
        <v>0</v>
      </c>
      <c r="V115" s="50" t="n">
        <f aca="false">SUM(V112:V112)</f>
        <v>73334.08314</v>
      </c>
      <c r="W115" s="50"/>
      <c r="X115" s="50" t="n">
        <f aca="false">SUM(X112:X112)</f>
        <v>73334.08314</v>
      </c>
      <c r="Y115" s="50"/>
      <c r="Z115" s="50" t="n">
        <f aca="false">Z113</f>
        <v>3.5</v>
      </c>
      <c r="AA115" s="89"/>
      <c r="AB115" s="50" t="n">
        <f aca="false">AB113</f>
        <v>84438</v>
      </c>
      <c r="AC115" s="50" t="n">
        <f aca="false">AC113</f>
        <v>79371.72</v>
      </c>
      <c r="AD115" s="50" t="n">
        <f aca="false">AD113</f>
        <v>5066.28</v>
      </c>
      <c r="AE115" s="50"/>
      <c r="AF115" s="50" t="n">
        <f aca="false">SUM(AF114:AF114)</f>
        <v>6.3</v>
      </c>
      <c r="AG115" s="50"/>
      <c r="AH115" s="73" t="n">
        <f aca="false">SUM(AH114:AH114)</f>
        <v>189000</v>
      </c>
      <c r="AI115" s="50" t="n">
        <f aca="false">SUM(AI114:AI114)</f>
        <v>166320</v>
      </c>
      <c r="AJ115" s="51" t="n">
        <f aca="false">SUM(AJ114:AJ114)</f>
        <v>22680</v>
      </c>
      <c r="AK115" s="13"/>
      <c r="AL115" s="13"/>
    </row>
    <row r="116" s="69" customFormat="true" ht="28.5" hidden="false" customHeight="true" outlineLevel="0" collapsed="false">
      <c r="A116" s="52" t="s">
        <v>133</v>
      </c>
      <c r="B116" s="52"/>
      <c r="C116" s="106"/>
      <c r="D116" s="106"/>
      <c r="E116" s="89"/>
      <c r="F116" s="89"/>
      <c r="G116" s="50"/>
      <c r="H116" s="89"/>
      <c r="I116" s="71"/>
      <c r="J116" s="71"/>
      <c r="K116" s="71"/>
      <c r="L116" s="89"/>
      <c r="M116" s="71"/>
      <c r="N116" s="71"/>
      <c r="O116" s="71"/>
      <c r="P116" s="89"/>
      <c r="Q116" s="71"/>
      <c r="R116" s="71"/>
      <c r="S116" s="71"/>
      <c r="T116" s="89"/>
      <c r="U116" s="50"/>
      <c r="V116" s="50"/>
      <c r="W116" s="50"/>
      <c r="X116" s="50"/>
      <c r="Y116" s="50"/>
      <c r="Z116" s="50"/>
      <c r="AA116" s="89"/>
      <c r="AB116" s="50"/>
      <c r="AC116" s="50"/>
      <c r="AD116" s="50"/>
      <c r="AE116" s="50"/>
      <c r="AF116" s="50"/>
      <c r="AG116" s="50"/>
      <c r="AH116" s="73"/>
      <c r="AI116" s="50"/>
      <c r="AJ116" s="51"/>
      <c r="AK116" s="13"/>
      <c r="AL116" s="13"/>
    </row>
    <row r="117" s="69" customFormat="true" ht="49.5" hidden="false" customHeight="true" outlineLevel="0" collapsed="false">
      <c r="A117" s="54" t="n">
        <v>43</v>
      </c>
      <c r="B117" s="101" t="s">
        <v>134</v>
      </c>
      <c r="C117" s="55" t="s">
        <v>31</v>
      </c>
      <c r="D117" s="106"/>
      <c r="E117" s="84" t="n">
        <f aca="false">38.268-32.25</f>
        <v>6.018</v>
      </c>
      <c r="F117" s="88"/>
      <c r="G117" s="57" t="n">
        <v>177923.1847</v>
      </c>
      <c r="H117" s="89"/>
      <c r="I117" s="71"/>
      <c r="J117" s="71"/>
      <c r="K117" s="71"/>
      <c r="L117" s="89"/>
      <c r="M117" s="71"/>
      <c r="N117" s="71"/>
      <c r="O117" s="71"/>
      <c r="P117" s="89"/>
      <c r="Q117" s="71"/>
      <c r="R117" s="71"/>
      <c r="S117" s="71"/>
      <c r="T117" s="89"/>
      <c r="U117" s="50"/>
      <c r="V117" s="50"/>
      <c r="W117" s="50"/>
      <c r="X117" s="50"/>
      <c r="Y117" s="50"/>
      <c r="Z117" s="84" t="n">
        <f aca="false">E117</f>
        <v>6.018</v>
      </c>
      <c r="AA117" s="89"/>
      <c r="AB117" s="57" t="n">
        <f aca="false">G117</f>
        <v>177923.1847</v>
      </c>
      <c r="AC117" s="57" t="n">
        <f aca="false">AB117*0.94</f>
        <v>167247.793618</v>
      </c>
      <c r="AD117" s="57" t="n">
        <f aca="false">AB117-AC117</f>
        <v>10675.391082</v>
      </c>
      <c r="AE117" s="50"/>
      <c r="AF117" s="50"/>
      <c r="AG117" s="50"/>
      <c r="AH117" s="73"/>
      <c r="AI117" s="50"/>
      <c r="AJ117" s="51"/>
      <c r="AK117" s="13"/>
      <c r="AL117" s="13"/>
    </row>
    <row r="118" s="69" customFormat="true" ht="49.5" hidden="false" customHeight="true" outlineLevel="0" collapsed="false">
      <c r="A118" s="54" t="n">
        <v>44</v>
      </c>
      <c r="B118" s="101" t="s">
        <v>135</v>
      </c>
      <c r="C118" s="55" t="s">
        <v>31</v>
      </c>
      <c r="D118" s="106"/>
      <c r="E118" s="84" t="n">
        <f aca="false">27-23.25</f>
        <v>3.75</v>
      </c>
      <c r="F118" s="88"/>
      <c r="G118" s="57" t="n">
        <v>94254.9074</v>
      </c>
      <c r="H118" s="89"/>
      <c r="I118" s="71"/>
      <c r="J118" s="71"/>
      <c r="K118" s="71"/>
      <c r="L118" s="89"/>
      <c r="M118" s="71"/>
      <c r="N118" s="71"/>
      <c r="O118" s="71"/>
      <c r="P118" s="89"/>
      <c r="Q118" s="71"/>
      <c r="R118" s="71"/>
      <c r="S118" s="71"/>
      <c r="T118" s="89"/>
      <c r="U118" s="50"/>
      <c r="V118" s="50"/>
      <c r="W118" s="50"/>
      <c r="X118" s="50"/>
      <c r="Y118" s="50"/>
      <c r="Z118" s="84" t="n">
        <f aca="false">E118</f>
        <v>3.75</v>
      </c>
      <c r="AA118" s="89"/>
      <c r="AB118" s="57" t="n">
        <f aca="false">G118</f>
        <v>94254.9074</v>
      </c>
      <c r="AC118" s="57" t="n">
        <f aca="false">AB118*0.94</f>
        <v>88599.612956</v>
      </c>
      <c r="AD118" s="57" t="n">
        <f aca="false">AB118-AC118</f>
        <v>5655.294444</v>
      </c>
      <c r="AE118" s="50"/>
      <c r="AF118" s="50"/>
      <c r="AG118" s="50"/>
      <c r="AH118" s="73"/>
      <c r="AI118" s="50"/>
      <c r="AJ118" s="51"/>
      <c r="AK118" s="13"/>
      <c r="AL118" s="13"/>
    </row>
    <row r="119" s="69" customFormat="true" ht="52.5" hidden="false" customHeight="true" outlineLevel="0" collapsed="false">
      <c r="A119" s="54" t="n">
        <v>45</v>
      </c>
      <c r="B119" s="101" t="s">
        <v>136</v>
      </c>
      <c r="C119" s="55" t="s">
        <v>31</v>
      </c>
      <c r="D119" s="106"/>
      <c r="E119" s="84" t="n">
        <v>6.9</v>
      </c>
      <c r="F119" s="88"/>
      <c r="G119" s="57" t="n">
        <f aca="false">E119*30000</f>
        <v>207000</v>
      </c>
      <c r="H119" s="89"/>
      <c r="I119" s="71"/>
      <c r="J119" s="71"/>
      <c r="K119" s="71"/>
      <c r="L119" s="89"/>
      <c r="M119" s="71"/>
      <c r="N119" s="71"/>
      <c r="O119" s="71"/>
      <c r="P119" s="89"/>
      <c r="Q119" s="71"/>
      <c r="R119" s="71"/>
      <c r="S119" s="71"/>
      <c r="T119" s="89"/>
      <c r="U119" s="50"/>
      <c r="V119" s="50"/>
      <c r="W119" s="50"/>
      <c r="X119" s="50"/>
      <c r="Y119" s="50"/>
      <c r="Z119" s="84"/>
      <c r="AA119" s="89"/>
      <c r="AB119" s="57"/>
      <c r="AC119" s="57"/>
      <c r="AD119" s="57"/>
      <c r="AE119" s="50"/>
      <c r="AF119" s="56" t="n">
        <f aca="false">E119</f>
        <v>6.9</v>
      </c>
      <c r="AG119" s="57"/>
      <c r="AH119" s="83" t="n">
        <f aca="false">G119</f>
        <v>207000</v>
      </c>
      <c r="AI119" s="57" t="n">
        <f aca="false">AH119*0.88</f>
        <v>182160</v>
      </c>
      <c r="AJ119" s="80" t="n">
        <f aca="false">AH119-AI119</f>
        <v>24840</v>
      </c>
      <c r="AK119" s="13"/>
      <c r="AL119" s="13"/>
    </row>
    <row r="120" s="69" customFormat="true" ht="34.2" hidden="false" customHeight="true" outlineLevel="0" collapsed="false">
      <c r="A120" s="81" t="s">
        <v>137</v>
      </c>
      <c r="B120" s="81"/>
      <c r="C120" s="106"/>
      <c r="D120" s="106"/>
      <c r="E120" s="89" t="n">
        <f aca="false">SUM(E117:E119)</f>
        <v>16.668</v>
      </c>
      <c r="F120" s="57"/>
      <c r="G120" s="50" t="n">
        <f aca="false">SUM(G117:G119)</f>
        <v>479178.0921</v>
      </c>
      <c r="H120" s="89"/>
      <c r="I120" s="71"/>
      <c r="J120" s="71"/>
      <c r="K120" s="71"/>
      <c r="L120" s="89"/>
      <c r="M120" s="71"/>
      <c r="N120" s="71"/>
      <c r="O120" s="71"/>
      <c r="P120" s="89"/>
      <c r="Q120" s="71"/>
      <c r="R120" s="71"/>
      <c r="S120" s="71"/>
      <c r="T120" s="89"/>
      <c r="U120" s="50"/>
      <c r="V120" s="50"/>
      <c r="W120" s="50"/>
      <c r="X120" s="50"/>
      <c r="Y120" s="50"/>
      <c r="Z120" s="89" t="n">
        <f aca="false">SUM(Z117:Z118)</f>
        <v>9.768</v>
      </c>
      <c r="AA120" s="89"/>
      <c r="AB120" s="50" t="n">
        <f aca="false">SUM(AB117:AB118)</f>
        <v>272178.0921</v>
      </c>
      <c r="AC120" s="50" t="n">
        <f aca="false">SUM(AC117:AC118)</f>
        <v>255847.406574</v>
      </c>
      <c r="AD120" s="50" t="n">
        <f aca="false">SUM(AD117:AD118)</f>
        <v>16330.685526</v>
      </c>
      <c r="AE120" s="50"/>
      <c r="AF120" s="50" t="n">
        <f aca="false">SUM(AF119)</f>
        <v>6.9</v>
      </c>
      <c r="AG120" s="50"/>
      <c r="AH120" s="73" t="n">
        <f aca="false">SUM(AH119)</f>
        <v>207000</v>
      </c>
      <c r="AI120" s="50" t="n">
        <f aca="false">SUM(AI119)</f>
        <v>182160</v>
      </c>
      <c r="AJ120" s="51" t="n">
        <f aca="false">SUM(AJ119)</f>
        <v>24840</v>
      </c>
      <c r="AK120" s="13"/>
      <c r="AL120" s="13"/>
    </row>
    <row r="121" s="69" customFormat="true" ht="36" hidden="false" customHeight="true" outlineLevel="0" collapsed="false">
      <c r="A121" s="52" t="s">
        <v>138</v>
      </c>
      <c r="B121" s="52"/>
      <c r="C121" s="82"/>
      <c r="D121" s="82"/>
      <c r="E121" s="82"/>
      <c r="F121" s="82"/>
      <c r="G121" s="50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7"/>
      <c r="V121" s="57"/>
      <c r="W121" s="57"/>
      <c r="X121" s="57"/>
      <c r="Y121" s="57"/>
      <c r="Z121" s="57"/>
      <c r="AA121" s="55"/>
      <c r="AB121" s="57"/>
      <c r="AC121" s="57"/>
      <c r="AD121" s="57"/>
      <c r="AE121" s="57"/>
      <c r="AF121" s="57"/>
      <c r="AG121" s="57"/>
      <c r="AH121" s="83"/>
      <c r="AI121" s="57"/>
      <c r="AJ121" s="80"/>
      <c r="AK121" s="13"/>
      <c r="AL121" s="13"/>
    </row>
    <row r="122" s="69" customFormat="true" ht="46.6" hidden="false" customHeight="true" outlineLevel="0" collapsed="false">
      <c r="A122" s="54" t="n">
        <v>46</v>
      </c>
      <c r="B122" s="101" t="s">
        <v>139</v>
      </c>
      <c r="C122" s="55" t="s">
        <v>31</v>
      </c>
      <c r="D122" s="55"/>
      <c r="E122" s="61" t="n">
        <f aca="false">8.63-1.82</f>
        <v>6.81</v>
      </c>
      <c r="F122" s="61"/>
      <c r="G122" s="57" t="n">
        <v>163235.96216</v>
      </c>
      <c r="H122" s="84"/>
      <c r="I122" s="85"/>
      <c r="J122" s="85"/>
      <c r="K122" s="85"/>
      <c r="L122" s="90"/>
      <c r="M122" s="91"/>
      <c r="N122" s="85"/>
      <c r="O122" s="85"/>
      <c r="P122" s="56"/>
      <c r="Q122" s="85"/>
      <c r="R122" s="85"/>
      <c r="S122" s="85"/>
      <c r="T122" s="56" t="n">
        <f aca="false">E122</f>
        <v>6.81</v>
      </c>
      <c r="U122" s="57"/>
      <c r="V122" s="57" t="n">
        <f aca="false">G122</f>
        <v>163235.96216</v>
      </c>
      <c r="W122" s="57"/>
      <c r="X122" s="57" t="n">
        <f aca="false">V122</f>
        <v>163235.96216</v>
      </c>
      <c r="Y122" s="57"/>
      <c r="Z122" s="57"/>
      <c r="AA122" s="56"/>
      <c r="AB122" s="96"/>
      <c r="AC122" s="96"/>
      <c r="AD122" s="96"/>
      <c r="AE122" s="96"/>
      <c r="AF122" s="96"/>
      <c r="AG122" s="57"/>
      <c r="AH122" s="83"/>
      <c r="AI122" s="57"/>
      <c r="AJ122" s="80"/>
      <c r="AK122" s="13"/>
      <c r="AL122" s="13"/>
    </row>
    <row r="123" s="69" customFormat="true" ht="30.05" hidden="false" customHeight="true" outlineLevel="0" collapsed="false">
      <c r="A123" s="54" t="n">
        <v>47</v>
      </c>
      <c r="B123" s="101" t="s">
        <v>140</v>
      </c>
      <c r="C123" s="55" t="s">
        <v>31</v>
      </c>
      <c r="D123" s="55"/>
      <c r="E123" s="61" t="n">
        <v>6</v>
      </c>
      <c r="F123" s="61"/>
      <c r="G123" s="57" t="n">
        <v>142640.61877</v>
      </c>
      <c r="H123" s="84"/>
      <c r="I123" s="85"/>
      <c r="J123" s="85"/>
      <c r="K123" s="85"/>
      <c r="L123" s="90"/>
      <c r="M123" s="91"/>
      <c r="N123" s="85"/>
      <c r="O123" s="85"/>
      <c r="P123" s="56"/>
      <c r="Q123" s="85"/>
      <c r="R123" s="85"/>
      <c r="S123" s="85"/>
      <c r="T123" s="56"/>
      <c r="U123" s="57"/>
      <c r="V123" s="57"/>
      <c r="W123" s="57"/>
      <c r="X123" s="57"/>
      <c r="Y123" s="57"/>
      <c r="Z123" s="56" t="n">
        <v>6</v>
      </c>
      <c r="AA123" s="56"/>
      <c r="AB123" s="57" t="n">
        <f aca="false">G123</f>
        <v>142640.61877</v>
      </c>
      <c r="AC123" s="57" t="n">
        <f aca="false">AB123*0.94</f>
        <v>134082.1816438</v>
      </c>
      <c r="AD123" s="57" t="n">
        <f aca="false">AB123-AC123</f>
        <v>8558.43712620001</v>
      </c>
      <c r="AE123" s="96"/>
      <c r="AF123" s="96"/>
      <c r="AG123" s="57"/>
      <c r="AH123" s="83"/>
      <c r="AI123" s="57"/>
      <c r="AJ123" s="80"/>
      <c r="AK123" s="13"/>
      <c r="AL123" s="13"/>
    </row>
    <row r="124" s="69" customFormat="true" ht="25.9" hidden="false" customHeight="true" outlineLevel="0" collapsed="false">
      <c r="A124" s="54" t="n">
        <v>48</v>
      </c>
      <c r="B124" s="101" t="s">
        <v>141</v>
      </c>
      <c r="C124" s="55" t="s">
        <v>45</v>
      </c>
      <c r="D124" s="55"/>
      <c r="E124" s="61" t="n">
        <v>6</v>
      </c>
      <c r="F124" s="61"/>
      <c r="G124" s="57" t="n">
        <f aca="false">E124*80000-48000+18000</f>
        <v>450000</v>
      </c>
      <c r="H124" s="84"/>
      <c r="I124" s="85"/>
      <c r="J124" s="85"/>
      <c r="K124" s="85"/>
      <c r="L124" s="90"/>
      <c r="M124" s="91"/>
      <c r="N124" s="85"/>
      <c r="O124" s="85"/>
      <c r="P124" s="56"/>
      <c r="Q124" s="85"/>
      <c r="R124" s="85"/>
      <c r="S124" s="85"/>
      <c r="T124" s="56"/>
      <c r="U124" s="57"/>
      <c r="V124" s="57"/>
      <c r="W124" s="57"/>
      <c r="X124" s="57"/>
      <c r="Y124" s="57"/>
      <c r="Z124" s="56"/>
      <c r="AA124" s="56"/>
      <c r="AB124" s="57"/>
      <c r="AC124" s="57"/>
      <c r="AD124" s="57"/>
      <c r="AE124" s="96"/>
      <c r="AF124" s="56" t="n">
        <f aca="false">E124</f>
        <v>6</v>
      </c>
      <c r="AG124" s="57"/>
      <c r="AH124" s="83" t="n">
        <f aca="false">G124</f>
        <v>450000</v>
      </c>
      <c r="AI124" s="57" t="n">
        <f aca="false">AH124*0.88</f>
        <v>396000</v>
      </c>
      <c r="AJ124" s="80" t="n">
        <f aca="false">AH124-AI124</f>
        <v>54000</v>
      </c>
      <c r="AK124" s="13"/>
      <c r="AL124" s="13"/>
    </row>
    <row r="125" s="69" customFormat="true" ht="25.9" hidden="false" customHeight="true" outlineLevel="0" collapsed="false">
      <c r="A125" s="92"/>
      <c r="B125" s="79" t="s">
        <v>55</v>
      </c>
      <c r="C125" s="55"/>
      <c r="D125" s="55"/>
      <c r="E125" s="100" t="n">
        <f aca="false">SUM(E122:E124)</f>
        <v>18.81</v>
      </c>
      <c r="F125" s="57"/>
      <c r="G125" s="57" t="n">
        <f aca="false">SUM(G122:G124)</f>
        <v>755876.58093</v>
      </c>
      <c r="H125" s="84"/>
      <c r="I125" s="85"/>
      <c r="J125" s="85"/>
      <c r="K125" s="85"/>
      <c r="L125" s="90"/>
      <c r="M125" s="91"/>
      <c r="N125" s="85"/>
      <c r="O125" s="85"/>
      <c r="P125" s="56"/>
      <c r="Q125" s="85"/>
      <c r="R125" s="85"/>
      <c r="S125" s="85"/>
      <c r="T125" s="57" t="n">
        <f aca="false">SUM(T122:T122)</f>
        <v>6.81</v>
      </c>
      <c r="U125" s="57"/>
      <c r="V125" s="57" t="n">
        <f aca="false">SUM(V122:V122)</f>
        <v>163235.96216</v>
      </c>
      <c r="W125" s="57" t="n">
        <f aca="false">SUM(W122:W122)</f>
        <v>0</v>
      </c>
      <c r="X125" s="57" t="n">
        <f aca="false">SUM(X122:X122)</f>
        <v>163235.96216</v>
      </c>
      <c r="Y125" s="57"/>
      <c r="Z125" s="100" t="n">
        <f aca="false">SUM(Z122:Z123)</f>
        <v>6</v>
      </c>
      <c r="AA125" s="61"/>
      <c r="AB125" s="57" t="n">
        <f aca="false">SUM(AB122:AB123)</f>
        <v>142640.61877</v>
      </c>
      <c r="AC125" s="57" t="n">
        <f aca="false">SUM(AC122:AC123)</f>
        <v>134082.1816438</v>
      </c>
      <c r="AD125" s="57" t="n">
        <f aca="false">SUM(AD122:AD123)</f>
        <v>8558.43712620001</v>
      </c>
      <c r="AE125" s="57"/>
      <c r="AF125" s="57" t="n">
        <f aca="false">SUM(AF124)</f>
        <v>6</v>
      </c>
      <c r="AG125" s="57"/>
      <c r="AH125" s="83" t="n">
        <f aca="false">SUM(AH124)</f>
        <v>450000</v>
      </c>
      <c r="AI125" s="57" t="n">
        <f aca="false">SUM(AI124)</f>
        <v>396000</v>
      </c>
      <c r="AJ125" s="80" t="n">
        <f aca="false">SUM(AJ124)</f>
        <v>54000</v>
      </c>
      <c r="AK125" s="13"/>
      <c r="AL125" s="13"/>
    </row>
    <row r="126" s="69" customFormat="true" ht="25.9" hidden="false" customHeight="true" outlineLevel="0" collapsed="false">
      <c r="A126" s="92"/>
      <c r="B126" s="79" t="s">
        <v>56</v>
      </c>
      <c r="C126" s="55"/>
      <c r="D126" s="55"/>
      <c r="E126" s="100" t="n">
        <f aca="false">T126+Z126</f>
        <v>11.998</v>
      </c>
      <c r="F126" s="61"/>
      <c r="G126" s="57" t="n">
        <f aca="false">V126+AB126</f>
        <v>324796.9</v>
      </c>
      <c r="H126" s="84"/>
      <c r="I126" s="85"/>
      <c r="J126" s="85"/>
      <c r="K126" s="85"/>
      <c r="L126" s="90"/>
      <c r="M126" s="91"/>
      <c r="N126" s="85"/>
      <c r="O126" s="85"/>
      <c r="P126" s="56"/>
      <c r="Q126" s="85"/>
      <c r="R126" s="85"/>
      <c r="S126" s="85"/>
      <c r="T126" s="57" t="n">
        <v>7.432</v>
      </c>
      <c r="U126" s="57"/>
      <c r="V126" s="57" t="n">
        <v>248931</v>
      </c>
      <c r="W126" s="57"/>
      <c r="X126" s="57" t="n">
        <f aca="false">V126</f>
        <v>248931</v>
      </c>
      <c r="Y126" s="57"/>
      <c r="Z126" s="100" t="n">
        <v>4.566</v>
      </c>
      <c r="AA126" s="61"/>
      <c r="AB126" s="57" t="n">
        <v>75865.9</v>
      </c>
      <c r="AC126" s="57"/>
      <c r="AD126" s="57" t="n">
        <f aca="false">AB126</f>
        <v>75865.9</v>
      </c>
      <c r="AE126" s="57"/>
      <c r="AF126" s="57"/>
      <c r="AG126" s="57"/>
      <c r="AH126" s="83"/>
      <c r="AI126" s="57"/>
      <c r="AJ126" s="80"/>
      <c r="AK126" s="13"/>
      <c r="AL126" s="13"/>
    </row>
    <row r="127" s="69" customFormat="true" ht="27.95" hidden="false" customHeight="true" outlineLevel="0" collapsed="false">
      <c r="A127" s="81" t="s">
        <v>142</v>
      </c>
      <c r="B127" s="81"/>
      <c r="C127" s="81"/>
      <c r="D127" s="58"/>
      <c r="E127" s="50" t="n">
        <f aca="false">SUM(E125:E126)</f>
        <v>30.808</v>
      </c>
      <c r="F127" s="50"/>
      <c r="G127" s="50" t="n">
        <f aca="false">SUM(G125:G126)</f>
        <v>1080673.48093</v>
      </c>
      <c r="H127" s="89" t="e">
        <f aca="false">SUM(#REF!)</f>
        <v>#REF!</v>
      </c>
      <c r="I127" s="71" t="e">
        <f aca="false">SUM(#REF!)</f>
        <v>#REF!</v>
      </c>
      <c r="J127" s="71" t="e">
        <f aca="false">SUM(#REF!)</f>
        <v>#REF!</v>
      </c>
      <c r="K127" s="71"/>
      <c r="L127" s="89" t="e">
        <f aca="false">SUM(#REF!)</f>
        <v>#REF!</v>
      </c>
      <c r="M127" s="71" t="e">
        <f aca="false">SUM(#REF!)</f>
        <v>#REF!</v>
      </c>
      <c r="N127" s="71" t="e">
        <f aca="false">SUM(#REF!)</f>
        <v>#REF!</v>
      </c>
      <c r="O127" s="71" t="e">
        <f aca="false">SUM(#REF!)</f>
        <v>#REF!</v>
      </c>
      <c r="P127" s="50" t="n">
        <f aca="false">SUM(P122:P126)</f>
        <v>0</v>
      </c>
      <c r="Q127" s="71" t="n">
        <f aca="false">SUM(Q122:Q126)</f>
        <v>0</v>
      </c>
      <c r="R127" s="71" t="n">
        <f aca="false">SUM(R122:R126)</f>
        <v>0</v>
      </c>
      <c r="S127" s="71" t="n">
        <f aca="false">SUM(S122:S126)</f>
        <v>0</v>
      </c>
      <c r="T127" s="50" t="n">
        <f aca="false">SUM(T125:T126)</f>
        <v>14.242</v>
      </c>
      <c r="U127" s="50"/>
      <c r="V127" s="50" t="n">
        <f aca="false">SUM(V125:V126)</f>
        <v>412166.96216</v>
      </c>
      <c r="W127" s="50" t="n">
        <f aca="false">SUM(W125:W126)</f>
        <v>0</v>
      </c>
      <c r="X127" s="50" t="n">
        <f aca="false">SUM(X125:X126)</f>
        <v>412166.96216</v>
      </c>
      <c r="Y127" s="50"/>
      <c r="Z127" s="50" t="n">
        <f aca="false">SUM(Z125:Z126)</f>
        <v>10.566</v>
      </c>
      <c r="AA127" s="50"/>
      <c r="AB127" s="50" t="n">
        <f aca="false">SUM(AB125:AB126)</f>
        <v>218506.51877</v>
      </c>
      <c r="AC127" s="50" t="n">
        <f aca="false">SUM(AC125:AC126)</f>
        <v>134082.1816438</v>
      </c>
      <c r="AD127" s="50" t="n">
        <f aca="false">SUM(AD125:AD126)</f>
        <v>84424.3371262</v>
      </c>
      <c r="AE127" s="50"/>
      <c r="AF127" s="50" t="n">
        <f aca="false">SUM(AF125:AF126)</f>
        <v>6</v>
      </c>
      <c r="AG127" s="50"/>
      <c r="AH127" s="50" t="n">
        <f aca="false">SUM(AH125:AH126)</f>
        <v>450000</v>
      </c>
      <c r="AI127" s="50" t="n">
        <f aca="false">SUM(AI125:AI126)</f>
        <v>396000</v>
      </c>
      <c r="AJ127" s="51" t="n">
        <f aca="false">SUM(AJ125:AJ126)</f>
        <v>54000</v>
      </c>
      <c r="AK127" s="13"/>
      <c r="AL127" s="13"/>
    </row>
    <row r="128" s="69" customFormat="true" ht="34.5" hidden="false" customHeight="true" outlineLevel="0" collapsed="false">
      <c r="A128" s="52" t="s">
        <v>35</v>
      </c>
      <c r="B128" s="52"/>
      <c r="C128" s="102"/>
      <c r="D128" s="58"/>
      <c r="E128" s="50"/>
      <c r="F128" s="50"/>
      <c r="G128" s="50"/>
      <c r="H128" s="89"/>
      <c r="I128" s="71"/>
      <c r="J128" s="71"/>
      <c r="K128" s="71"/>
      <c r="L128" s="89"/>
      <c r="M128" s="71"/>
      <c r="N128" s="71"/>
      <c r="O128" s="71"/>
      <c r="P128" s="50"/>
      <c r="Q128" s="71"/>
      <c r="R128" s="71"/>
      <c r="S128" s="71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73"/>
      <c r="AI128" s="50"/>
      <c r="AJ128" s="51"/>
      <c r="AK128" s="13"/>
      <c r="AL128" s="13"/>
    </row>
    <row r="129" s="69" customFormat="true" ht="42.75" hidden="false" customHeight="true" outlineLevel="0" collapsed="false">
      <c r="A129" s="54" t="n">
        <v>49</v>
      </c>
      <c r="B129" s="101" t="s">
        <v>143</v>
      </c>
      <c r="C129" s="55" t="s">
        <v>31</v>
      </c>
      <c r="D129" s="58"/>
      <c r="E129" s="61" t="n">
        <v>3.8</v>
      </c>
      <c r="F129" s="50"/>
      <c r="G129" s="57" t="n">
        <f aca="false">88303.22826+3089.62888+4.08214</f>
        <v>91396.93928</v>
      </c>
      <c r="H129" s="89"/>
      <c r="I129" s="71"/>
      <c r="J129" s="71"/>
      <c r="K129" s="71"/>
      <c r="L129" s="89"/>
      <c r="M129" s="71"/>
      <c r="N129" s="71"/>
      <c r="O129" s="71"/>
      <c r="P129" s="50"/>
      <c r="Q129" s="71"/>
      <c r="R129" s="71"/>
      <c r="S129" s="71"/>
      <c r="T129" s="50"/>
      <c r="U129" s="50"/>
      <c r="V129" s="50"/>
      <c r="W129" s="50"/>
      <c r="X129" s="50"/>
      <c r="Y129" s="50"/>
      <c r="Z129" s="56" t="n">
        <f aca="false">E129</f>
        <v>3.8</v>
      </c>
      <c r="AA129" s="50"/>
      <c r="AB129" s="57" t="n">
        <f aca="false">G129</f>
        <v>91396.93928</v>
      </c>
      <c r="AC129" s="57" t="n">
        <f aca="false">AB129*0.94</f>
        <v>85913.1229232</v>
      </c>
      <c r="AD129" s="57" t="n">
        <f aca="false">AB129-AC129</f>
        <v>5483.8163568</v>
      </c>
      <c r="AE129" s="50"/>
      <c r="AF129" s="50"/>
      <c r="AG129" s="50"/>
      <c r="AH129" s="73"/>
      <c r="AI129" s="50"/>
      <c r="AJ129" s="51"/>
      <c r="AK129" s="13"/>
      <c r="AL129" s="13"/>
    </row>
    <row r="130" s="69" customFormat="true" ht="45" hidden="false" customHeight="true" outlineLevel="0" collapsed="false">
      <c r="A130" s="54" t="n">
        <v>50</v>
      </c>
      <c r="B130" s="101" t="s">
        <v>144</v>
      </c>
      <c r="C130" s="55" t="s">
        <v>31</v>
      </c>
      <c r="D130" s="58"/>
      <c r="E130" s="56" t="n">
        <v>5</v>
      </c>
      <c r="F130" s="50"/>
      <c r="G130" s="57" t="n">
        <v>119407.55494</v>
      </c>
      <c r="H130" s="89"/>
      <c r="I130" s="71"/>
      <c r="J130" s="71"/>
      <c r="K130" s="71"/>
      <c r="L130" s="89"/>
      <c r="M130" s="71"/>
      <c r="N130" s="71"/>
      <c r="O130" s="71"/>
      <c r="P130" s="50"/>
      <c r="Q130" s="71"/>
      <c r="R130" s="71"/>
      <c r="S130" s="71"/>
      <c r="T130" s="50"/>
      <c r="U130" s="50"/>
      <c r="V130" s="50"/>
      <c r="W130" s="50"/>
      <c r="X130" s="50"/>
      <c r="Y130" s="50"/>
      <c r="Z130" s="56" t="n">
        <f aca="false">E130</f>
        <v>5</v>
      </c>
      <c r="AA130" s="50"/>
      <c r="AB130" s="57" t="n">
        <f aca="false">G130</f>
        <v>119407.55494</v>
      </c>
      <c r="AC130" s="57" t="n">
        <f aca="false">AB130*0.94</f>
        <v>112243.1016436</v>
      </c>
      <c r="AD130" s="57" t="n">
        <f aca="false">AB130-AC130</f>
        <v>7164.45329640001</v>
      </c>
      <c r="AE130" s="50"/>
      <c r="AF130" s="50"/>
      <c r="AG130" s="50"/>
      <c r="AH130" s="73" t="s">
        <v>67</v>
      </c>
      <c r="AI130" s="50"/>
      <c r="AJ130" s="51"/>
      <c r="AK130" s="13"/>
      <c r="AL130" s="13"/>
    </row>
    <row r="131" s="69" customFormat="true" ht="45" hidden="true" customHeight="true" outlineLevel="0" collapsed="false">
      <c r="A131" s="54" t="n">
        <v>51</v>
      </c>
      <c r="B131" s="101" t="s">
        <v>36</v>
      </c>
      <c r="C131" s="55"/>
      <c r="D131" s="58"/>
      <c r="E131" s="56"/>
      <c r="F131" s="50"/>
      <c r="G131" s="57"/>
      <c r="H131" s="89"/>
      <c r="I131" s="71"/>
      <c r="J131" s="71"/>
      <c r="K131" s="71"/>
      <c r="L131" s="89"/>
      <c r="M131" s="71"/>
      <c r="N131" s="71"/>
      <c r="O131" s="71"/>
      <c r="P131" s="50"/>
      <c r="Q131" s="71"/>
      <c r="R131" s="71"/>
      <c r="S131" s="71"/>
      <c r="T131" s="50"/>
      <c r="U131" s="50"/>
      <c r="V131" s="50"/>
      <c r="W131" s="50"/>
      <c r="X131" s="50"/>
      <c r="Y131" s="50"/>
      <c r="Z131" s="56"/>
      <c r="AA131" s="50"/>
      <c r="AB131" s="57"/>
      <c r="AC131" s="57"/>
      <c r="AD131" s="57"/>
      <c r="AE131" s="50"/>
      <c r="AF131" s="56" t="n">
        <f aca="false">E131</f>
        <v>0</v>
      </c>
      <c r="AG131" s="57"/>
      <c r="AH131" s="83" t="n">
        <f aca="false">G131</f>
        <v>0</v>
      </c>
      <c r="AI131" s="57" t="n">
        <f aca="false">AH131*0.88</f>
        <v>0</v>
      </c>
      <c r="AJ131" s="80" t="n">
        <f aca="false">AH131-AI131</f>
        <v>0</v>
      </c>
      <c r="AK131" s="13"/>
      <c r="AL131" s="13"/>
    </row>
    <row r="132" s="69" customFormat="true" ht="33" hidden="false" customHeight="true" outlineLevel="0" collapsed="false">
      <c r="A132" s="81" t="s">
        <v>145</v>
      </c>
      <c r="B132" s="81"/>
      <c r="C132" s="58"/>
      <c r="D132" s="58"/>
      <c r="E132" s="103" t="n">
        <f aca="false">SUM(E129:E131)</f>
        <v>8.8</v>
      </c>
      <c r="F132" s="57"/>
      <c r="G132" s="50" t="n">
        <f aca="false">SUM(G129:G131)</f>
        <v>210804.49422</v>
      </c>
      <c r="H132" s="89"/>
      <c r="I132" s="71"/>
      <c r="J132" s="71"/>
      <c r="K132" s="71"/>
      <c r="L132" s="89"/>
      <c r="M132" s="71"/>
      <c r="N132" s="71"/>
      <c r="O132" s="71"/>
      <c r="P132" s="50"/>
      <c r="Q132" s="71"/>
      <c r="R132" s="71"/>
      <c r="S132" s="71"/>
      <c r="T132" s="50"/>
      <c r="U132" s="50"/>
      <c r="V132" s="50"/>
      <c r="W132" s="50"/>
      <c r="X132" s="50"/>
      <c r="Y132" s="50"/>
      <c r="Z132" s="103" t="n">
        <f aca="false">SUM(Z129:Z130)</f>
        <v>8.8</v>
      </c>
      <c r="AA132" s="50"/>
      <c r="AB132" s="50" t="n">
        <f aca="false">SUM(AB129:AB130)</f>
        <v>210804.49422</v>
      </c>
      <c r="AC132" s="50" t="n">
        <f aca="false">SUM(AC129:AC130)</f>
        <v>198156.2245668</v>
      </c>
      <c r="AD132" s="50" t="n">
        <f aca="false">SUM(AD129:AD130)</f>
        <v>12648.2696532</v>
      </c>
      <c r="AE132" s="50"/>
      <c r="AF132" s="50" t="n">
        <f aca="false">SUM(AF131)</f>
        <v>0</v>
      </c>
      <c r="AG132" s="50"/>
      <c r="AH132" s="73" t="n">
        <f aca="false">SUM(AH131)</f>
        <v>0</v>
      </c>
      <c r="AI132" s="50" t="n">
        <f aca="false">SUM(AI131)</f>
        <v>0</v>
      </c>
      <c r="AJ132" s="51" t="n">
        <f aca="false">SUM(AJ131)</f>
        <v>0</v>
      </c>
      <c r="AK132" s="13"/>
      <c r="AL132" s="13"/>
    </row>
    <row r="133" s="69" customFormat="true" ht="31.5" hidden="false" customHeight="true" outlineLevel="0" collapsed="false">
      <c r="A133" s="52" t="s">
        <v>146</v>
      </c>
      <c r="B133" s="52"/>
      <c r="C133" s="82"/>
      <c r="D133" s="82"/>
      <c r="E133" s="82"/>
      <c r="F133" s="82"/>
      <c r="G133" s="50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7"/>
      <c r="V133" s="57"/>
      <c r="W133" s="57"/>
      <c r="X133" s="57"/>
      <c r="Y133" s="57"/>
      <c r="Z133" s="57"/>
      <c r="AA133" s="55"/>
      <c r="AB133" s="57"/>
      <c r="AC133" s="57"/>
      <c r="AD133" s="57"/>
      <c r="AE133" s="57"/>
      <c r="AF133" s="57"/>
      <c r="AG133" s="57"/>
      <c r="AH133" s="83"/>
      <c r="AI133" s="57"/>
      <c r="AJ133" s="80"/>
      <c r="AK133" s="13"/>
      <c r="AL133" s="13"/>
    </row>
    <row r="134" s="69" customFormat="true" ht="45" hidden="false" customHeight="true" outlineLevel="0" collapsed="false">
      <c r="A134" s="54" t="n">
        <v>51</v>
      </c>
      <c r="B134" s="101" t="s">
        <v>147</v>
      </c>
      <c r="C134" s="55" t="s">
        <v>31</v>
      </c>
      <c r="D134" s="55"/>
      <c r="E134" s="61" t="n">
        <v>8.32</v>
      </c>
      <c r="F134" s="61"/>
      <c r="G134" s="57" t="n">
        <v>203076.71727</v>
      </c>
      <c r="H134" s="84"/>
      <c r="I134" s="85"/>
      <c r="J134" s="85"/>
      <c r="K134" s="85"/>
      <c r="L134" s="56"/>
      <c r="M134" s="85"/>
      <c r="N134" s="85"/>
      <c r="O134" s="85"/>
      <c r="P134" s="90"/>
      <c r="Q134" s="91"/>
      <c r="R134" s="85"/>
      <c r="S134" s="85"/>
      <c r="T134" s="56" t="n">
        <f aca="false">E134</f>
        <v>8.32</v>
      </c>
      <c r="U134" s="57"/>
      <c r="V134" s="57" t="n">
        <f aca="false">G134</f>
        <v>203076.71727</v>
      </c>
      <c r="W134" s="57"/>
      <c r="X134" s="57" t="n">
        <f aca="false">V134</f>
        <v>203076.71727</v>
      </c>
      <c r="Y134" s="57"/>
      <c r="Z134" s="61"/>
      <c r="AA134" s="56"/>
      <c r="AB134" s="57"/>
      <c r="AC134" s="57"/>
      <c r="AD134" s="57"/>
      <c r="AE134" s="57"/>
      <c r="AF134" s="57"/>
      <c r="AG134" s="57"/>
      <c r="AH134" s="83"/>
      <c r="AI134" s="57"/>
      <c r="AJ134" s="80"/>
      <c r="AK134" s="13"/>
      <c r="AL134" s="13"/>
    </row>
    <row r="135" s="69" customFormat="true" ht="45" hidden="true" customHeight="true" outlineLevel="0" collapsed="false">
      <c r="A135" s="54"/>
      <c r="B135" s="101" t="s">
        <v>148</v>
      </c>
      <c r="C135" s="55"/>
      <c r="D135" s="55"/>
      <c r="E135" s="61"/>
      <c r="F135" s="61"/>
      <c r="G135" s="57"/>
      <c r="H135" s="84"/>
      <c r="I135" s="85"/>
      <c r="J135" s="85"/>
      <c r="K135" s="85"/>
      <c r="L135" s="56"/>
      <c r="M135" s="85"/>
      <c r="N135" s="85"/>
      <c r="O135" s="85"/>
      <c r="P135" s="90"/>
      <c r="Q135" s="91"/>
      <c r="R135" s="85"/>
      <c r="S135" s="85"/>
      <c r="T135" s="56"/>
      <c r="U135" s="57"/>
      <c r="V135" s="57"/>
      <c r="W135" s="57"/>
      <c r="X135" s="57"/>
      <c r="Y135" s="57"/>
      <c r="Z135" s="61"/>
      <c r="AA135" s="56"/>
      <c r="AB135" s="57"/>
      <c r="AC135" s="57"/>
      <c r="AD135" s="57"/>
      <c r="AE135" s="57"/>
      <c r="AF135" s="56" t="n">
        <f aca="false">E135</f>
        <v>0</v>
      </c>
      <c r="AG135" s="57"/>
      <c r="AH135" s="83" t="n">
        <f aca="false">G135</f>
        <v>0</v>
      </c>
      <c r="AI135" s="83" t="n">
        <f aca="false">AH135*0.64</f>
        <v>0</v>
      </c>
      <c r="AJ135" s="80" t="n">
        <f aca="false">AH135-AI135</f>
        <v>0</v>
      </c>
      <c r="AK135" s="13"/>
      <c r="AL135" s="13"/>
    </row>
    <row r="136" s="69" customFormat="true" ht="27" hidden="false" customHeight="true" outlineLevel="0" collapsed="false">
      <c r="A136" s="92"/>
      <c r="B136" s="79" t="s">
        <v>56</v>
      </c>
      <c r="C136" s="55"/>
      <c r="D136" s="55"/>
      <c r="E136" s="100" t="n">
        <f aca="false">T136+Z136</f>
        <v>14.13</v>
      </c>
      <c r="F136" s="61"/>
      <c r="G136" s="57" t="n">
        <f aca="false">V136+AB136</f>
        <v>256645.1</v>
      </c>
      <c r="H136" s="84"/>
      <c r="I136" s="85"/>
      <c r="J136" s="85"/>
      <c r="K136" s="85"/>
      <c r="L136" s="56"/>
      <c r="M136" s="85"/>
      <c r="N136" s="85"/>
      <c r="O136" s="85"/>
      <c r="P136" s="90"/>
      <c r="Q136" s="91"/>
      <c r="R136" s="85"/>
      <c r="S136" s="85"/>
      <c r="T136" s="57" t="n">
        <v>10.592</v>
      </c>
      <c r="U136" s="57"/>
      <c r="V136" s="57" t="n">
        <v>204675</v>
      </c>
      <c r="W136" s="57"/>
      <c r="X136" s="57" t="n">
        <f aca="false">V136</f>
        <v>204675</v>
      </c>
      <c r="Y136" s="57"/>
      <c r="Z136" s="100" t="n">
        <v>3.538</v>
      </c>
      <c r="AA136" s="56"/>
      <c r="AB136" s="57" t="n">
        <v>51970.1</v>
      </c>
      <c r="AC136" s="56"/>
      <c r="AD136" s="57" t="n">
        <f aca="false">AB136</f>
        <v>51970.1</v>
      </c>
      <c r="AE136" s="57"/>
      <c r="AF136" s="57"/>
      <c r="AG136" s="57"/>
      <c r="AH136" s="83"/>
      <c r="AI136" s="57"/>
      <c r="AJ136" s="80"/>
      <c r="AK136" s="13" t="s">
        <v>129</v>
      </c>
      <c r="AL136" s="13"/>
    </row>
    <row r="137" s="69" customFormat="true" ht="28.5" hidden="false" customHeight="true" outlineLevel="0" collapsed="false">
      <c r="A137" s="81" t="s">
        <v>149</v>
      </c>
      <c r="B137" s="81"/>
      <c r="C137" s="81"/>
      <c r="D137" s="58"/>
      <c r="E137" s="89" t="n">
        <f aca="false">SUM(E134:E136)</f>
        <v>22.45</v>
      </c>
      <c r="F137" s="89"/>
      <c r="G137" s="50" t="n">
        <f aca="false">SUM(G134:G136)</f>
        <v>459721.81727</v>
      </c>
      <c r="H137" s="89" t="e">
        <f aca="false">SUM(#REF!)</f>
        <v>#REF!</v>
      </c>
      <c r="I137" s="71" t="e">
        <f aca="false">SUM(#REF!)</f>
        <v>#REF!</v>
      </c>
      <c r="J137" s="71" t="e">
        <f aca="false">SUM(#REF!)</f>
        <v>#REF!</v>
      </c>
      <c r="K137" s="71"/>
      <c r="L137" s="89" t="e">
        <f aca="false">SUM(#REF!)</f>
        <v>#REF!</v>
      </c>
      <c r="M137" s="71" t="e">
        <f aca="false">SUM(#REF!)</f>
        <v>#REF!</v>
      </c>
      <c r="N137" s="71" t="e">
        <f aca="false">SUM(#REF!)</f>
        <v>#REF!</v>
      </c>
      <c r="O137" s="71" t="e">
        <f aca="false">SUM(#REF!)</f>
        <v>#REF!</v>
      </c>
      <c r="P137" s="107" t="n">
        <f aca="false">SUM(P134:P136)</f>
        <v>0</v>
      </c>
      <c r="Q137" s="71" t="n">
        <f aca="false">SUM(Q134:Q136)</f>
        <v>0</v>
      </c>
      <c r="R137" s="71" t="n">
        <f aca="false">SUM(R134:R136)</f>
        <v>0</v>
      </c>
      <c r="S137" s="50" t="n">
        <f aca="false">SUM(S134:S136)</f>
        <v>0</v>
      </c>
      <c r="T137" s="89" t="n">
        <f aca="false">SUM(T134:T136)</f>
        <v>18.912</v>
      </c>
      <c r="U137" s="50"/>
      <c r="V137" s="50" t="n">
        <f aca="false">SUM(V134:V136)</f>
        <v>407751.71727</v>
      </c>
      <c r="W137" s="50"/>
      <c r="X137" s="50" t="n">
        <f aca="false">SUM(X134:X136)</f>
        <v>407751.71727</v>
      </c>
      <c r="Y137" s="50"/>
      <c r="Z137" s="50" t="n">
        <f aca="false">SUM(Z136:Z136)</f>
        <v>3.538</v>
      </c>
      <c r="AA137" s="89"/>
      <c r="AB137" s="50" t="n">
        <f aca="false">SUM(AB136:AB136)</f>
        <v>51970.1</v>
      </c>
      <c r="AC137" s="50" t="n">
        <f aca="false">SUM(AC136:AC136)</f>
        <v>0</v>
      </c>
      <c r="AD137" s="50" t="n">
        <f aca="false">SUM(AD134:AD136)</f>
        <v>51970.1</v>
      </c>
      <c r="AE137" s="50"/>
      <c r="AF137" s="50" t="n">
        <f aca="false">SUM(AF135:AF136)</f>
        <v>0</v>
      </c>
      <c r="AG137" s="50" t="s">
        <v>67</v>
      </c>
      <c r="AH137" s="73" t="n">
        <f aca="false">SUM(AH135:AH136)</f>
        <v>0</v>
      </c>
      <c r="AI137" s="50" t="n">
        <f aca="false">SUM(AI135:AI136)</f>
        <v>0</v>
      </c>
      <c r="AJ137" s="51" t="n">
        <f aca="false">SUM(AJ135:AJ136)</f>
        <v>0</v>
      </c>
      <c r="AK137" s="13"/>
      <c r="AL137" s="13"/>
    </row>
    <row r="138" s="69" customFormat="true" ht="25.5" hidden="false" customHeight="true" outlineLevel="0" collapsed="false">
      <c r="A138" s="52" t="s">
        <v>150</v>
      </c>
      <c r="B138" s="52"/>
      <c r="C138" s="82"/>
      <c r="D138" s="82"/>
      <c r="E138" s="82"/>
      <c r="F138" s="82"/>
      <c r="G138" s="50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7"/>
      <c r="V138" s="57"/>
      <c r="W138" s="57"/>
      <c r="X138" s="57"/>
      <c r="Y138" s="57"/>
      <c r="Z138" s="57"/>
      <c r="AA138" s="55"/>
      <c r="AB138" s="57"/>
      <c r="AC138" s="57"/>
      <c r="AD138" s="57"/>
      <c r="AE138" s="57"/>
      <c r="AF138" s="57"/>
      <c r="AG138" s="57"/>
      <c r="AH138" s="83"/>
      <c r="AI138" s="57"/>
      <c r="AJ138" s="80"/>
      <c r="AK138" s="13"/>
      <c r="AL138" s="13"/>
    </row>
    <row r="139" s="69" customFormat="true" ht="30" hidden="false" customHeight="true" outlineLevel="0" collapsed="false">
      <c r="A139" s="54" t="n">
        <v>52</v>
      </c>
      <c r="B139" s="101" t="s">
        <v>151</v>
      </c>
      <c r="C139" s="55" t="s">
        <v>31</v>
      </c>
      <c r="D139" s="55"/>
      <c r="E139" s="61" t="n">
        <v>3.23</v>
      </c>
      <c r="F139" s="57"/>
      <c r="G139" s="57" t="n">
        <v>85329.78709</v>
      </c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61" t="n">
        <f aca="false">E139</f>
        <v>3.23</v>
      </c>
      <c r="U139" s="57"/>
      <c r="V139" s="57" t="n">
        <f aca="false">G139</f>
        <v>85329.78709</v>
      </c>
      <c r="W139" s="57"/>
      <c r="X139" s="57" t="n">
        <f aca="false">V139</f>
        <v>85329.78709</v>
      </c>
      <c r="Y139" s="57"/>
      <c r="Z139" s="57"/>
      <c r="AA139" s="55"/>
      <c r="AB139" s="57"/>
      <c r="AC139" s="57"/>
      <c r="AD139" s="57"/>
      <c r="AE139" s="57"/>
      <c r="AF139" s="57"/>
      <c r="AG139" s="57"/>
      <c r="AH139" s="83"/>
      <c r="AI139" s="57"/>
      <c r="AJ139" s="80"/>
      <c r="AK139" s="13"/>
      <c r="AL139" s="13"/>
    </row>
    <row r="140" s="69" customFormat="true" ht="44.25" hidden="false" customHeight="true" outlineLevel="0" collapsed="false">
      <c r="A140" s="54" t="n">
        <v>53</v>
      </c>
      <c r="B140" s="101" t="s">
        <v>152</v>
      </c>
      <c r="C140" s="55" t="s">
        <v>50</v>
      </c>
      <c r="D140" s="55"/>
      <c r="E140" s="61" t="n">
        <v>6.4</v>
      </c>
      <c r="F140" s="57"/>
      <c r="G140" s="57" t="n">
        <f aca="false">E140*38000+2308.69516+96.30842-4.08214</f>
        <v>245600.92144</v>
      </c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61"/>
      <c r="U140" s="57"/>
      <c r="V140" s="57"/>
      <c r="W140" s="57"/>
      <c r="X140" s="57"/>
      <c r="Y140" s="57"/>
      <c r="Z140" s="57"/>
      <c r="AA140" s="55"/>
      <c r="AB140" s="57"/>
      <c r="AC140" s="57"/>
      <c r="AD140" s="57"/>
      <c r="AE140" s="57"/>
      <c r="AF140" s="56" t="n">
        <f aca="false">E140</f>
        <v>6.4</v>
      </c>
      <c r="AG140" s="57"/>
      <c r="AH140" s="83" t="n">
        <f aca="false">G140</f>
        <v>245600.92144</v>
      </c>
      <c r="AI140" s="57" t="n">
        <f aca="false">AH140*0.88</f>
        <v>216128.8108672</v>
      </c>
      <c r="AJ140" s="80" t="n">
        <f aca="false">AH140-AI140</f>
        <v>29472.1105728</v>
      </c>
      <c r="AK140" s="13"/>
      <c r="AL140" s="13"/>
    </row>
    <row r="141" s="69" customFormat="true" ht="27" hidden="false" customHeight="true" outlineLevel="0" collapsed="false">
      <c r="A141" s="92"/>
      <c r="B141" s="79" t="s">
        <v>56</v>
      </c>
      <c r="C141" s="55"/>
      <c r="D141" s="55"/>
      <c r="E141" s="100" t="n">
        <f aca="false">T141+Z141</f>
        <v>14.866</v>
      </c>
      <c r="F141" s="61"/>
      <c r="G141" s="57" t="n">
        <f aca="false">V141+AB141</f>
        <v>174458.2</v>
      </c>
      <c r="H141" s="84"/>
      <c r="I141" s="85"/>
      <c r="J141" s="85"/>
      <c r="K141" s="85"/>
      <c r="L141" s="90"/>
      <c r="M141" s="91"/>
      <c r="N141" s="85"/>
      <c r="O141" s="85"/>
      <c r="P141" s="56"/>
      <c r="Q141" s="85"/>
      <c r="R141" s="85"/>
      <c r="S141" s="85"/>
      <c r="T141" s="57" t="n">
        <v>10.202</v>
      </c>
      <c r="U141" s="57"/>
      <c r="V141" s="57" t="n">
        <v>132500</v>
      </c>
      <c r="W141" s="57"/>
      <c r="X141" s="57" t="n">
        <f aca="false">V141</f>
        <v>132500</v>
      </c>
      <c r="Y141" s="57"/>
      <c r="Z141" s="57" t="n">
        <v>4.664</v>
      </c>
      <c r="AA141" s="106"/>
      <c r="AB141" s="57" t="n">
        <v>41958.2</v>
      </c>
      <c r="AC141" s="57"/>
      <c r="AD141" s="57" t="n">
        <f aca="false">AB141</f>
        <v>41958.2</v>
      </c>
      <c r="AE141" s="57"/>
      <c r="AF141" s="57"/>
      <c r="AG141" s="57"/>
      <c r="AH141" s="83"/>
      <c r="AI141" s="57"/>
      <c r="AJ141" s="80"/>
      <c r="AK141" s="13"/>
      <c r="AL141" s="13"/>
    </row>
    <row r="142" s="69" customFormat="true" ht="24.75" hidden="false" customHeight="true" outlineLevel="0" collapsed="false">
      <c r="A142" s="81" t="s">
        <v>153</v>
      </c>
      <c r="B142" s="81"/>
      <c r="C142" s="81"/>
      <c r="D142" s="58"/>
      <c r="E142" s="50" t="n">
        <f aca="false">SUM(E139:E141)</f>
        <v>24.496</v>
      </c>
      <c r="F142" s="50"/>
      <c r="G142" s="50" t="n">
        <f aca="false">SUM(G139:G141)</f>
        <v>505388.90853</v>
      </c>
      <c r="H142" s="89" t="e">
        <f aca="false">SUM(#REF!)</f>
        <v>#REF!</v>
      </c>
      <c r="I142" s="71" t="e">
        <f aca="false">SUM(#REF!)</f>
        <v>#REF!</v>
      </c>
      <c r="J142" s="71" t="e">
        <f aca="false">SUM(#REF!)</f>
        <v>#REF!</v>
      </c>
      <c r="K142" s="71"/>
      <c r="L142" s="89" t="e">
        <f aca="false">SUM(#REF!)</f>
        <v>#REF!</v>
      </c>
      <c r="M142" s="71" t="e">
        <f aca="false">SUM(#REF!)</f>
        <v>#REF!</v>
      </c>
      <c r="N142" s="71" t="e">
        <f aca="false">SUM(#REF!)</f>
        <v>#REF!</v>
      </c>
      <c r="O142" s="71"/>
      <c r="P142" s="50" t="e">
        <f aca="false">SUM(#REF!)</f>
        <v>#REF!</v>
      </c>
      <c r="Q142" s="71" t="e">
        <f aca="false">SUM(#REF!)</f>
        <v>#REF!</v>
      </c>
      <c r="R142" s="71" t="e">
        <f aca="false">SUM(#REF!)</f>
        <v>#REF!</v>
      </c>
      <c r="S142" s="71"/>
      <c r="T142" s="50" t="n">
        <f aca="false">SUM(T139:T141)</f>
        <v>13.432</v>
      </c>
      <c r="U142" s="50"/>
      <c r="V142" s="50" t="n">
        <f aca="false">SUM(V139:V141)</f>
        <v>217829.78709</v>
      </c>
      <c r="W142" s="50" t="n">
        <f aca="false">SUM(W141:W141)</f>
        <v>0</v>
      </c>
      <c r="X142" s="50" t="n">
        <f aca="false">SUM(X139:X141)</f>
        <v>217829.78709</v>
      </c>
      <c r="Y142" s="50"/>
      <c r="Z142" s="50" t="n">
        <f aca="false">SUM(Z139:Z141)</f>
        <v>4.664</v>
      </c>
      <c r="AA142" s="50"/>
      <c r="AB142" s="50" t="n">
        <f aca="false">SUM(AB139:AB141)</f>
        <v>41958.2</v>
      </c>
      <c r="AC142" s="50" t="n">
        <f aca="false">SUM(AC139:AC141)</f>
        <v>0</v>
      </c>
      <c r="AD142" s="50" t="n">
        <f aca="false">SUM(AD139:AD141)</f>
        <v>41958.2</v>
      </c>
      <c r="AE142" s="50"/>
      <c r="AF142" s="50" t="n">
        <f aca="false">SUM(AF140:AF141)</f>
        <v>6.4</v>
      </c>
      <c r="AG142" s="50"/>
      <c r="AH142" s="73" t="n">
        <f aca="false">SUM(AH140:AH141)</f>
        <v>245600.92144</v>
      </c>
      <c r="AI142" s="50" t="n">
        <f aca="false">SUM(AI140:AI141)</f>
        <v>216128.8108672</v>
      </c>
      <c r="AJ142" s="51" t="n">
        <f aca="false">SUM(AJ140:AJ141)</f>
        <v>29472.1105728</v>
      </c>
      <c r="AK142" s="13"/>
      <c r="AL142" s="13"/>
    </row>
    <row r="143" s="69" customFormat="true" ht="27" hidden="true" customHeight="true" outlineLevel="0" collapsed="false">
      <c r="A143" s="87"/>
      <c r="B143" s="108" t="s">
        <v>154</v>
      </c>
      <c r="C143" s="106"/>
      <c r="D143" s="106"/>
      <c r="E143" s="84"/>
      <c r="F143" s="84"/>
      <c r="G143" s="57"/>
      <c r="H143" s="57"/>
      <c r="I143" s="85"/>
      <c r="J143" s="85"/>
      <c r="K143" s="85"/>
      <c r="L143" s="109"/>
      <c r="M143" s="85"/>
      <c r="N143" s="85"/>
      <c r="O143" s="85"/>
      <c r="P143" s="57"/>
      <c r="Q143" s="85"/>
      <c r="R143" s="85"/>
      <c r="S143" s="85"/>
      <c r="T143" s="56"/>
      <c r="U143" s="96"/>
      <c r="V143" s="57"/>
      <c r="W143" s="57"/>
      <c r="X143" s="57"/>
      <c r="Y143" s="57"/>
      <c r="Z143" s="85"/>
      <c r="AA143" s="57"/>
      <c r="AB143" s="96"/>
      <c r="AC143" s="96"/>
      <c r="AD143" s="96"/>
      <c r="AE143" s="96"/>
      <c r="AF143" s="96"/>
      <c r="AG143" s="85"/>
      <c r="AH143" s="110"/>
      <c r="AI143" s="85"/>
      <c r="AJ143" s="111"/>
    </row>
    <row r="144" s="69" customFormat="true" ht="29.25" hidden="true" customHeight="true" outlineLevel="0" collapsed="false">
      <c r="A144" s="87"/>
      <c r="B144" s="79" t="s">
        <v>56</v>
      </c>
      <c r="C144" s="106"/>
      <c r="D144" s="106"/>
      <c r="E144" s="61"/>
      <c r="F144" s="61"/>
      <c r="G144" s="57"/>
      <c r="H144" s="57"/>
      <c r="I144" s="85"/>
      <c r="J144" s="85"/>
      <c r="K144" s="85"/>
      <c r="L144" s="109"/>
      <c r="M144" s="85"/>
      <c r="N144" s="85"/>
      <c r="O144" s="85"/>
      <c r="P144" s="57"/>
      <c r="Q144" s="85"/>
      <c r="R144" s="85"/>
      <c r="S144" s="85"/>
      <c r="T144" s="56"/>
      <c r="U144" s="96"/>
      <c r="V144" s="57"/>
      <c r="W144" s="57"/>
      <c r="X144" s="57"/>
      <c r="Y144" s="57"/>
      <c r="Z144" s="85"/>
      <c r="AA144" s="57"/>
      <c r="AB144" s="96"/>
      <c r="AC144" s="96"/>
      <c r="AD144" s="96"/>
      <c r="AE144" s="96"/>
      <c r="AF144" s="96"/>
      <c r="AG144" s="85"/>
      <c r="AH144" s="110"/>
      <c r="AI144" s="85"/>
      <c r="AJ144" s="111"/>
    </row>
    <row r="145" s="69" customFormat="true" ht="34.5" hidden="true" customHeight="true" outlineLevel="0" collapsed="false">
      <c r="A145" s="87" t="s">
        <v>155</v>
      </c>
      <c r="B145" s="87"/>
      <c r="C145" s="87"/>
      <c r="D145" s="106"/>
      <c r="E145" s="112" t="n">
        <f aca="false">SUM(E144)</f>
        <v>0</v>
      </c>
      <c r="F145" s="112"/>
      <c r="G145" s="50" t="n">
        <f aca="false">SUM(G144)</f>
        <v>0</v>
      </c>
      <c r="H145" s="57"/>
      <c r="I145" s="85"/>
      <c r="J145" s="85"/>
      <c r="K145" s="85"/>
      <c r="L145" s="109"/>
      <c r="M145" s="85"/>
      <c r="N145" s="85"/>
      <c r="O145" s="85"/>
      <c r="P145" s="57"/>
      <c r="Q145" s="85"/>
      <c r="R145" s="85"/>
      <c r="S145" s="85"/>
      <c r="T145" s="113" t="n">
        <f aca="false">SUM(T144)</f>
        <v>0</v>
      </c>
      <c r="U145" s="112"/>
      <c r="V145" s="50" t="n">
        <f aca="false">SUM(V144)</f>
        <v>0</v>
      </c>
      <c r="W145" s="96"/>
      <c r="X145" s="50" t="n">
        <f aca="false">SUM(X144)</f>
        <v>0</v>
      </c>
      <c r="Y145" s="50"/>
      <c r="Z145" s="85"/>
      <c r="AA145" s="57"/>
      <c r="AB145" s="96"/>
      <c r="AC145" s="96"/>
      <c r="AD145" s="96"/>
      <c r="AE145" s="96"/>
      <c r="AF145" s="96"/>
      <c r="AG145" s="85"/>
      <c r="AH145" s="110"/>
      <c r="AI145" s="85"/>
      <c r="AJ145" s="111"/>
    </row>
    <row r="146" s="69" customFormat="true" ht="25.5" hidden="false" customHeight="true" outlineLevel="0" collapsed="false">
      <c r="A146" s="87"/>
      <c r="B146" s="79" t="s">
        <v>156</v>
      </c>
      <c r="C146" s="106"/>
      <c r="D146" s="106"/>
      <c r="E146" s="84"/>
      <c r="F146" s="84"/>
      <c r="G146" s="57" t="n">
        <f aca="false">V146+AB146</f>
        <v>3.19999999995343</v>
      </c>
      <c r="H146" s="57"/>
      <c r="I146" s="85"/>
      <c r="J146" s="85"/>
      <c r="K146" s="85"/>
      <c r="L146" s="109"/>
      <c r="M146" s="85"/>
      <c r="N146" s="85"/>
      <c r="O146" s="85"/>
      <c r="P146" s="57"/>
      <c r="Q146" s="85"/>
      <c r="R146" s="85"/>
      <c r="S146" s="85"/>
      <c r="T146" s="56"/>
      <c r="U146" s="96"/>
      <c r="V146" s="57" t="n">
        <f aca="false">W146+X146</f>
        <v>3.19999999995343</v>
      </c>
      <c r="W146" s="57" t="n">
        <f aca="false">1756093.2-1756090</f>
        <v>3.19999999995343</v>
      </c>
      <c r="X146" s="57"/>
      <c r="Y146" s="57"/>
      <c r="Z146" s="85"/>
      <c r="AA146" s="57"/>
      <c r="AB146" s="57"/>
      <c r="AC146" s="57"/>
      <c r="AD146" s="57"/>
      <c r="AE146" s="96"/>
      <c r="AF146" s="96"/>
      <c r="AG146" s="85"/>
      <c r="AH146" s="110"/>
      <c r="AI146" s="85"/>
      <c r="AJ146" s="111"/>
    </row>
    <row r="147" s="115" customFormat="true" ht="39.75" hidden="true" customHeight="true" outlineLevel="0" collapsed="false">
      <c r="A147" s="114"/>
      <c r="B147" s="53" t="s">
        <v>27</v>
      </c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47"/>
      <c r="AJ147" s="48"/>
    </row>
    <row r="148" s="115" customFormat="true" ht="38.25" hidden="false" customHeight="true" outlineLevel="0" collapsed="false">
      <c r="A148" s="116" t="n">
        <v>3</v>
      </c>
      <c r="B148" s="78" t="s">
        <v>157</v>
      </c>
      <c r="C148" s="63"/>
      <c r="D148" s="47"/>
      <c r="E148" s="47"/>
      <c r="F148" s="117" t="n">
        <f aca="false">SUM(F158:F197)</f>
        <v>1825.52</v>
      </c>
      <c r="G148" s="117" t="n">
        <f aca="false">SUM(G158:G197)</f>
        <v>2113219.15609</v>
      </c>
      <c r="H148" s="117" t="e">
        <f aca="false">H158+#REF!+H167+H168+H180+H187+H188+H189+H190+H191+H195+H197</f>
        <v>#REF!</v>
      </c>
      <c r="I148" s="117" t="e">
        <f aca="false">I158+#REF!+I167+I168+I180+I187+I188+I189+I190+I191+I195+I197</f>
        <v>#REF!</v>
      </c>
      <c r="J148" s="117" t="e">
        <f aca="false">J158+#REF!+J167+J168+J180+J187+J188+J189+J190+J191+J195+J197</f>
        <v>#REF!</v>
      </c>
      <c r="K148" s="117" t="e">
        <f aca="false">K158+#REF!+K167+K168+K180+K187+K188+K189+K190+K191+K195+K197</f>
        <v>#REF!</v>
      </c>
      <c r="L148" s="117" t="e">
        <f aca="false">L158+#REF!+L167+L168+L180+L187+L188+L189+L190+L191+L195+L197</f>
        <v>#REF!</v>
      </c>
      <c r="M148" s="117" t="e">
        <f aca="false">M158+#REF!+M167+M168+M180+M187+M188+M189+M190+M191+M195+M197</f>
        <v>#REF!</v>
      </c>
      <c r="N148" s="117" t="e">
        <f aca="false">N158+#REF!+N167+N168+N180+N187+N188+N189+N190+N191+N195+N197</f>
        <v>#REF!</v>
      </c>
      <c r="O148" s="117" t="e">
        <f aca="false">O158+#REF!+O167+O168+O180+O187+O188+O189+O190+O191+O195+O197</f>
        <v>#REF!</v>
      </c>
      <c r="P148" s="117" t="e">
        <f aca="false">P158+#REF!+P167+P168+P180+P187+P188+P189+P190+P191+P195+P197</f>
        <v>#REF!</v>
      </c>
      <c r="Q148" s="117" t="e">
        <f aca="false">Q158+#REF!+Q167+Q168+Q180+Q187+Q188+Q189+Q190+Q191+Q195+Q197</f>
        <v>#REF!</v>
      </c>
      <c r="R148" s="117" t="e">
        <f aca="false">R158+#REF!+R167+R168+R180+R187+R188+R189+R190+R191+R195+R197</f>
        <v>#REF!</v>
      </c>
      <c r="S148" s="117" t="e">
        <f aca="false">S158+#REF!+S167+S168+S180+S187+S188+S189+S190+S191+S195+S197</f>
        <v>#REF!</v>
      </c>
      <c r="T148" s="117"/>
      <c r="U148" s="117" t="n">
        <f aca="false">U167+U168+U180+U187+U188+U189+U190+U191+U195+U197</f>
        <v>833.84</v>
      </c>
      <c r="V148" s="117" t="n">
        <f aca="false">V164+V167+V168+V173+V180+V187+V188+V189+V190+V191+V195+V197</f>
        <v>653310.36275</v>
      </c>
      <c r="W148" s="117"/>
      <c r="X148" s="117" t="n">
        <f aca="false">X164+X167+X168+X173+X180+X187+X188+X189+X190+X191+X195+X197+0.03</f>
        <v>634714.25479</v>
      </c>
      <c r="Y148" s="117" t="n">
        <f aca="false">Y164+Y167+Y168+Y173+Y180+Y187+Y188+Y189+Y190+Y191+Y195+Y197</f>
        <v>18596.13796</v>
      </c>
      <c r="Z148" s="117"/>
      <c r="AA148" s="117" t="n">
        <f aca="false">AA158+AA164+AA165+AA169+AA171+AA173+AA176+AA178+AA181+AA183+AA185</f>
        <v>787.68</v>
      </c>
      <c r="AB148" s="117" t="n">
        <f aca="false">AB158+AB164+AB165+AB169+AB171+AB173+AB176+AB178+AB181+AB183+AB185</f>
        <v>881104.19334</v>
      </c>
      <c r="AC148" s="117"/>
      <c r="AD148" s="117" t="n">
        <f aca="false">AD158+AD164+AD165+AD169+AD171+AD173+AD176+AD178+AD181+AD183+AD185</f>
        <v>853503.7965</v>
      </c>
      <c r="AE148" s="117" t="n">
        <f aca="false">AE158+AE164+AE165+AE169+AE173+AE176+AE178+AE181+AE183+AE185</f>
        <v>27600.39684</v>
      </c>
      <c r="AF148" s="47"/>
      <c r="AG148" s="117" t="n">
        <f aca="false">AG159+AG161+AG162+AG192+AG193</f>
        <v>204</v>
      </c>
      <c r="AH148" s="117" t="n">
        <f aca="false">AH159+AH161+AH162+AH192+AH193</f>
        <v>368080</v>
      </c>
      <c r="AI148" s="63"/>
      <c r="AJ148" s="118" t="n">
        <f aca="false">AJ159+AJ161+AJ162+AJ192+AJ193</f>
        <v>368080</v>
      </c>
      <c r="AK148" s="119"/>
      <c r="AL148" s="119"/>
    </row>
    <row r="149" s="115" customFormat="true" ht="30" hidden="false" customHeight="true" outlineLevel="0" collapsed="false">
      <c r="A149" s="64"/>
      <c r="B149" s="120" t="s">
        <v>19</v>
      </c>
      <c r="C149" s="63"/>
      <c r="D149" s="47"/>
      <c r="E149" s="47"/>
      <c r="F149" s="63"/>
      <c r="G149" s="63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53"/>
      <c r="AI149" s="47"/>
      <c r="AJ149" s="48"/>
    </row>
    <row r="150" s="115" customFormat="true" ht="32.25" hidden="false" customHeight="true" outlineLevel="0" collapsed="false">
      <c r="A150" s="64"/>
      <c r="B150" s="78" t="s">
        <v>158</v>
      </c>
      <c r="C150" s="63"/>
      <c r="D150" s="47"/>
      <c r="E150" s="63"/>
      <c r="F150" s="117" t="n">
        <f aca="false">F159+F161+F162+F168+F164+F165+F169+F171+F173+F174+F176+F178+F180+F181+F185+F188+F189+F190+F191+F192+F193+F195</f>
        <v>1267.21</v>
      </c>
      <c r="G150" s="117" t="n">
        <f aca="false">G159+G161+G162+G168+G164+G165+G169+G171+G173+G174+G176+G178+G180+G181+G185+G188+G189+G190+G191+G192+G193+G195</f>
        <v>1274625.4965</v>
      </c>
      <c r="H150" s="117" t="e">
        <f aca="false">#REF!+H168+H180+H188+H189+H190+H191+H195</f>
        <v>#REF!</v>
      </c>
      <c r="I150" s="117" t="e">
        <f aca="false">#REF!+I168+I180+I188+I189+I190+I191+I195</f>
        <v>#REF!</v>
      </c>
      <c r="J150" s="117" t="e">
        <f aca="false">#REF!+J168+J180+J188+J189+J190+J191+J195</f>
        <v>#REF!</v>
      </c>
      <c r="K150" s="117" t="e">
        <f aca="false">#REF!+K168+K180+K188+K189+K190+K191+K195</f>
        <v>#REF!</v>
      </c>
      <c r="L150" s="117" t="e">
        <f aca="false">#REF!+L168+L180+L188+L189+L190+L191+L195</f>
        <v>#REF!</v>
      </c>
      <c r="M150" s="117" t="e">
        <f aca="false">#REF!+M168+M180+M188+M189+M190+M191+M195</f>
        <v>#REF!</v>
      </c>
      <c r="N150" s="117" t="e">
        <f aca="false">#REF!+N168+N180+N188+N189+N190+N191+N195</f>
        <v>#REF!</v>
      </c>
      <c r="O150" s="117" t="e">
        <f aca="false">#REF!+O168+O180+O188+O189+O190+O191+O195</f>
        <v>#REF!</v>
      </c>
      <c r="P150" s="117" t="e">
        <f aca="false">#REF!+P168+P180+P188+P189+P190+P191+P195</f>
        <v>#REF!</v>
      </c>
      <c r="Q150" s="117" t="e">
        <f aca="false">#REF!+Q168+Q180+Q188+Q189+Q190+Q191+Q195</f>
        <v>#REF!</v>
      </c>
      <c r="R150" s="117" t="e">
        <f aca="false">#REF!+R168+R180+R188+R189+R190+R191+R195</f>
        <v>#REF!</v>
      </c>
      <c r="S150" s="117" t="e">
        <f aca="false">#REF!+S168+S180+S188+S189+S190+S191+S195</f>
        <v>#REF!</v>
      </c>
      <c r="T150" s="117"/>
      <c r="U150" s="117" t="n">
        <f aca="false">U168+U180+U188+U189+U190+U191+U195</f>
        <v>565.01</v>
      </c>
      <c r="V150" s="117" t="n">
        <f aca="false">V164+V168+V173+V180+V188+V189+V190+V191+V195+0.04</f>
        <v>368535.95716</v>
      </c>
      <c r="W150" s="117"/>
      <c r="X150" s="117" t="n">
        <f aca="false">X164+X168+X173+X180+X188+X189+X190+X191+X195+0.04</f>
        <v>368535.95716</v>
      </c>
      <c r="Y150" s="117"/>
      <c r="Z150" s="117"/>
      <c r="AA150" s="117" t="n">
        <f aca="false">AA164+AA165+AA169+AA171+AA173+AA176+AA178+AA181+AA185</f>
        <v>498.2</v>
      </c>
      <c r="AB150" s="117" t="n">
        <f aca="false">AB164+AB165+AB169+AB171+AB173+AB176+AB178+AB181+AB185</f>
        <v>421097.57934</v>
      </c>
      <c r="AC150" s="117"/>
      <c r="AD150" s="117" t="n">
        <f aca="false">AD164+AD165+AD169+AD171+AD173+AD176+AD178+AD181+AD185</f>
        <v>421097.57934</v>
      </c>
      <c r="AE150" s="117"/>
      <c r="AF150" s="47"/>
      <c r="AG150" s="117" t="n">
        <f aca="false">SUM(AG151:AG153)</f>
        <v>204</v>
      </c>
      <c r="AH150" s="117" t="n">
        <f aca="false">SUM(AH151:AH153)</f>
        <v>368080</v>
      </c>
      <c r="AI150" s="47"/>
      <c r="AJ150" s="118" t="n">
        <f aca="false">SUM(AJ151:AJ153)</f>
        <v>368080</v>
      </c>
      <c r="AK150" s="119" t="n">
        <f aca="false">AH148+AB148+V148</f>
        <v>1902494.55609</v>
      </c>
      <c r="AL150" s="119" t="n">
        <f aca="false">G148-AK150</f>
        <v>210724.6</v>
      </c>
      <c r="AM150" s="115" t="s">
        <v>159</v>
      </c>
    </row>
    <row r="151" s="115" customFormat="true" ht="32.25" hidden="true" customHeight="true" outlineLevel="0" collapsed="false">
      <c r="A151" s="64"/>
      <c r="B151" s="120" t="s">
        <v>160</v>
      </c>
      <c r="C151" s="63"/>
      <c r="D151" s="47"/>
      <c r="E151" s="63"/>
      <c r="F151" s="121" t="n">
        <f aca="false">F159</f>
        <v>0</v>
      </c>
      <c r="G151" s="121" t="n">
        <f aca="false">G159</f>
        <v>0</v>
      </c>
      <c r="H151" s="117"/>
      <c r="I151" s="117"/>
      <c r="J151" s="117"/>
      <c r="K151" s="117"/>
      <c r="L151" s="117"/>
      <c r="M151" s="117"/>
      <c r="N151" s="117"/>
      <c r="O151" s="117"/>
      <c r="P151" s="117"/>
      <c r="Q151" s="117"/>
      <c r="R151" s="117"/>
      <c r="S151" s="117"/>
      <c r="T151" s="117"/>
      <c r="U151" s="117"/>
      <c r="V151" s="117"/>
      <c r="W151" s="117"/>
      <c r="X151" s="117"/>
      <c r="Y151" s="117"/>
      <c r="Z151" s="117"/>
      <c r="AA151" s="117"/>
      <c r="AB151" s="117"/>
      <c r="AC151" s="117"/>
      <c r="AD151" s="117"/>
      <c r="AE151" s="117"/>
      <c r="AF151" s="47"/>
      <c r="AG151" s="121" t="n">
        <f aca="false">AG159</f>
        <v>0</v>
      </c>
      <c r="AH151" s="121" t="n">
        <f aca="false">AH159</f>
        <v>0</v>
      </c>
      <c r="AI151" s="117"/>
      <c r="AJ151" s="122" t="n">
        <f aca="false">AJ159</f>
        <v>0</v>
      </c>
      <c r="AK151" s="119"/>
      <c r="AL151" s="119"/>
    </row>
    <row r="152" s="115" customFormat="true" ht="28.5" hidden="false" customHeight="true" outlineLevel="0" collapsed="false">
      <c r="A152" s="64"/>
      <c r="B152" s="120" t="s">
        <v>161</v>
      </c>
      <c r="C152" s="47"/>
      <c r="D152" s="47"/>
      <c r="E152" s="63"/>
      <c r="F152" s="121" t="n">
        <f aca="false">F161+F164+F173+F192</f>
        <v>232.6</v>
      </c>
      <c r="G152" s="121" t="n">
        <f aca="false">G161+G164+G173+G192</f>
        <v>451900.64112</v>
      </c>
      <c r="H152" s="117"/>
      <c r="I152" s="117"/>
      <c r="J152" s="117"/>
      <c r="K152" s="117"/>
      <c r="L152" s="117"/>
      <c r="M152" s="117"/>
      <c r="N152" s="117"/>
      <c r="O152" s="117"/>
      <c r="P152" s="117"/>
      <c r="Q152" s="117"/>
      <c r="R152" s="117"/>
      <c r="S152" s="117"/>
      <c r="T152" s="117"/>
      <c r="U152" s="121"/>
      <c r="V152" s="121" t="n">
        <f aca="false">V164+V173</f>
        <v>64999.97189</v>
      </c>
      <c r="W152" s="117"/>
      <c r="X152" s="121" t="n">
        <f aca="false">X164+X173</f>
        <v>64999.97189</v>
      </c>
      <c r="Y152" s="117"/>
      <c r="Z152" s="117"/>
      <c r="AA152" s="121" t="n">
        <f aca="false">AA164+AA173</f>
        <v>144.7</v>
      </c>
      <c r="AB152" s="121" t="n">
        <f aca="false">AB164+AB173</f>
        <v>286900.66923</v>
      </c>
      <c r="AC152" s="117"/>
      <c r="AD152" s="121" t="n">
        <f aca="false">AD164+AD173</f>
        <v>286900.66923</v>
      </c>
      <c r="AE152" s="121"/>
      <c r="AF152" s="47"/>
      <c r="AG152" s="121" t="n">
        <f aca="false">AG161+AG192</f>
        <v>87.9</v>
      </c>
      <c r="AH152" s="121" t="n">
        <f aca="false">AH161+AH192</f>
        <v>100000</v>
      </c>
      <c r="AI152" s="117"/>
      <c r="AJ152" s="122" t="n">
        <f aca="false">AJ161+AJ192</f>
        <v>100000</v>
      </c>
      <c r="AL152" s="123" t="n">
        <f aca="false">SUM(AL153:AL154)</f>
        <v>210724.62988</v>
      </c>
    </row>
    <row r="153" s="115" customFormat="true" ht="27.75" hidden="false" customHeight="true" outlineLevel="0" collapsed="false">
      <c r="A153" s="64"/>
      <c r="B153" s="120" t="s">
        <v>162</v>
      </c>
      <c r="C153" s="63"/>
      <c r="D153" s="47"/>
      <c r="E153" s="63"/>
      <c r="F153" s="121" t="n">
        <f aca="false">F150-F151-F152</f>
        <v>1034.61</v>
      </c>
      <c r="G153" s="121" t="n">
        <f aca="false">G150-G151-G152</f>
        <v>822724.85538</v>
      </c>
      <c r="H153" s="117"/>
      <c r="I153" s="117"/>
      <c r="J153" s="117"/>
      <c r="K153" s="117"/>
      <c r="L153" s="117"/>
      <c r="M153" s="117"/>
      <c r="N153" s="117"/>
      <c r="O153" s="117"/>
      <c r="P153" s="117"/>
      <c r="Q153" s="117"/>
      <c r="R153" s="117"/>
      <c r="S153" s="117"/>
      <c r="T153" s="117"/>
      <c r="U153" s="121" t="n">
        <f aca="false">U150-U152</f>
        <v>565.01</v>
      </c>
      <c r="V153" s="121" t="n">
        <f aca="false">V150-V152</f>
        <v>303535.98527</v>
      </c>
      <c r="W153" s="117"/>
      <c r="X153" s="121" t="n">
        <f aca="false">X150-X152</f>
        <v>303535.98527</v>
      </c>
      <c r="Y153" s="117"/>
      <c r="Z153" s="117"/>
      <c r="AA153" s="121" t="n">
        <f aca="false">AA150-AA152</f>
        <v>353.5</v>
      </c>
      <c r="AB153" s="121" t="n">
        <f aca="false">AB150-AB152</f>
        <v>134196.91011</v>
      </c>
      <c r="AC153" s="117"/>
      <c r="AD153" s="121" t="n">
        <f aca="false">AD150-AD152</f>
        <v>134196.91011</v>
      </c>
      <c r="AE153" s="117"/>
      <c r="AF153" s="47"/>
      <c r="AG153" s="121" t="n">
        <f aca="false">AG162+AG193</f>
        <v>116.1</v>
      </c>
      <c r="AH153" s="121" t="n">
        <f aca="false">AH162+AH193</f>
        <v>268080</v>
      </c>
      <c r="AI153" s="47"/>
      <c r="AJ153" s="122" t="n">
        <f aca="false">AJ162+AJ193</f>
        <v>268080</v>
      </c>
      <c r="AL153" s="119" t="n">
        <f aca="false">AK188+AK189+AK190+AK191+AK195</f>
        <v>116912</v>
      </c>
    </row>
    <row r="154" s="115" customFormat="true" ht="30" hidden="false" customHeight="true" outlineLevel="0" collapsed="false">
      <c r="A154" s="64"/>
      <c r="B154" s="78" t="s">
        <v>163</v>
      </c>
      <c r="C154" s="63"/>
      <c r="D154" s="47"/>
      <c r="E154" s="63"/>
      <c r="F154" s="117" t="n">
        <f aca="false">F158+F167+F183+F187+F197</f>
        <v>558.31</v>
      </c>
      <c r="G154" s="117" t="n">
        <f aca="false">G158+G167+G183+G187+G197</f>
        <v>838593.65959</v>
      </c>
      <c r="H154" s="124"/>
      <c r="I154" s="124"/>
      <c r="J154" s="124"/>
      <c r="K154" s="124"/>
      <c r="L154" s="124"/>
      <c r="M154" s="124"/>
      <c r="N154" s="124"/>
      <c r="O154" s="124"/>
      <c r="P154" s="124"/>
      <c r="Q154" s="124"/>
      <c r="R154" s="124"/>
      <c r="S154" s="124"/>
      <c r="T154" s="124"/>
      <c r="U154" s="117" t="n">
        <f aca="false">U167+U187+U197</f>
        <v>268.83</v>
      </c>
      <c r="V154" s="117" t="n">
        <f aca="false">V167+V187+V197</f>
        <v>284774.44559</v>
      </c>
      <c r="W154" s="117"/>
      <c r="X154" s="117" t="n">
        <f aca="false">X167+X187+X197</f>
        <v>266178.30763</v>
      </c>
      <c r="Y154" s="117" t="n">
        <f aca="false">Y167+Y187+Y197</f>
        <v>18596.13796</v>
      </c>
      <c r="Z154" s="47"/>
      <c r="AA154" s="117" t="n">
        <f aca="false">AA158+AA183</f>
        <v>289.48</v>
      </c>
      <c r="AB154" s="117" t="n">
        <f aca="false">AB158+AB183</f>
        <v>460006.614</v>
      </c>
      <c r="AC154" s="117"/>
      <c r="AD154" s="117" t="n">
        <f aca="false">AD158+AD183</f>
        <v>432406.21716</v>
      </c>
      <c r="AE154" s="117" t="n">
        <f aca="false">SUM(AE158:AE197)</f>
        <v>27600.39684</v>
      </c>
      <c r="AF154" s="47"/>
      <c r="AG154" s="63"/>
      <c r="AH154" s="53"/>
      <c r="AI154" s="47"/>
      <c r="AJ154" s="48"/>
      <c r="AK154" s="119" t="n">
        <f aca="false">AB154+V154</f>
        <v>744781.05959</v>
      </c>
      <c r="AL154" s="119" t="n">
        <f aca="false">AL155+AL156</f>
        <v>93812.62988</v>
      </c>
      <c r="AM154" s="115" t="s">
        <v>159</v>
      </c>
    </row>
    <row r="155" s="115" customFormat="true" ht="28.5" hidden="false" customHeight="true" outlineLevel="0" collapsed="false">
      <c r="A155" s="64"/>
      <c r="B155" s="120" t="s">
        <v>161</v>
      </c>
      <c r="C155" s="63"/>
      <c r="D155" s="47"/>
      <c r="E155" s="63"/>
      <c r="F155" s="121" t="n">
        <f aca="false">F167+ F183</f>
        <v>336.96</v>
      </c>
      <c r="G155" s="121" t="n">
        <f aca="false">G167+ G183</f>
        <v>521559.9</v>
      </c>
      <c r="H155" s="124"/>
      <c r="I155" s="124"/>
      <c r="J155" s="124"/>
      <c r="K155" s="124"/>
      <c r="L155" s="124"/>
      <c r="M155" s="124"/>
      <c r="N155" s="124"/>
      <c r="O155" s="124"/>
      <c r="P155" s="124"/>
      <c r="Q155" s="124"/>
      <c r="R155" s="124"/>
      <c r="S155" s="124"/>
      <c r="T155" s="124"/>
      <c r="U155" s="121" t="n">
        <f aca="false">U167</f>
        <v>120.68</v>
      </c>
      <c r="V155" s="121" t="n">
        <f aca="false">V167</f>
        <v>105208.8</v>
      </c>
      <c r="W155" s="117"/>
      <c r="X155" s="121" t="n">
        <f aca="false">X167</f>
        <v>98896.3</v>
      </c>
      <c r="Y155" s="121" t="n">
        <f aca="false">Y167</f>
        <v>6312.5</v>
      </c>
      <c r="Z155" s="47"/>
      <c r="AA155" s="121" t="n">
        <f aca="false">AA167+ AA183</f>
        <v>216.28</v>
      </c>
      <c r="AB155" s="121" t="n">
        <f aca="false">AB167+ AB183</f>
        <v>375000</v>
      </c>
      <c r="AC155" s="117"/>
      <c r="AD155" s="121" t="n">
        <f aca="false">AD167+ AD183</f>
        <v>352500</v>
      </c>
      <c r="AE155" s="121" t="n">
        <f aca="false">AE167+ AE183</f>
        <v>22500</v>
      </c>
      <c r="AF155" s="47"/>
      <c r="AG155" s="63"/>
      <c r="AH155" s="53"/>
      <c r="AI155" s="47"/>
      <c r="AJ155" s="48"/>
      <c r="AK155" s="119" t="n">
        <f aca="false">AB155+V155</f>
        <v>480208.8</v>
      </c>
      <c r="AL155" s="119" t="n">
        <f aca="false">G155-AK155</f>
        <v>41351.1</v>
      </c>
    </row>
    <row r="156" s="115" customFormat="true" ht="30" hidden="false" customHeight="true" outlineLevel="0" collapsed="false">
      <c r="A156" s="64"/>
      <c r="B156" s="120" t="s">
        <v>162</v>
      </c>
      <c r="C156" s="63"/>
      <c r="D156" s="47"/>
      <c r="E156" s="63"/>
      <c r="F156" s="121" t="n">
        <f aca="false">F154-F155</f>
        <v>221.35</v>
      </c>
      <c r="G156" s="121" t="n">
        <f aca="false">G154-G155</f>
        <v>317033.75959</v>
      </c>
      <c r="H156" s="124"/>
      <c r="I156" s="124"/>
      <c r="J156" s="124"/>
      <c r="K156" s="124"/>
      <c r="L156" s="124"/>
      <c r="M156" s="124"/>
      <c r="N156" s="124"/>
      <c r="O156" s="124"/>
      <c r="P156" s="124"/>
      <c r="Q156" s="124"/>
      <c r="R156" s="124"/>
      <c r="S156" s="124"/>
      <c r="T156" s="124"/>
      <c r="U156" s="121" t="n">
        <f aca="false">U154-U155</f>
        <v>148.15</v>
      </c>
      <c r="V156" s="121" t="n">
        <f aca="false">V154-V155</f>
        <v>179565.64559</v>
      </c>
      <c r="W156" s="117"/>
      <c r="X156" s="121" t="n">
        <f aca="false">X154-X155</f>
        <v>167282.00763</v>
      </c>
      <c r="Y156" s="121" t="n">
        <f aca="false">Y154-Y155</f>
        <v>12283.63796</v>
      </c>
      <c r="Z156" s="47"/>
      <c r="AA156" s="121" t="n">
        <f aca="false">AA154-AA155</f>
        <v>73.2</v>
      </c>
      <c r="AB156" s="121" t="n">
        <f aca="false">AB154-AB155</f>
        <v>85006.614</v>
      </c>
      <c r="AC156" s="117"/>
      <c r="AD156" s="121" t="n">
        <f aca="false">AD154-AD155</f>
        <v>79906.21716</v>
      </c>
      <c r="AE156" s="121" t="n">
        <f aca="false">AE154-AE155</f>
        <v>5100.39684</v>
      </c>
      <c r="AF156" s="47"/>
      <c r="AG156" s="63"/>
      <c r="AH156" s="53"/>
      <c r="AI156" s="47"/>
      <c r="AJ156" s="48"/>
      <c r="AK156" s="119" t="n">
        <f aca="false">AB156+V156</f>
        <v>264572.25959</v>
      </c>
      <c r="AL156" s="119" t="n">
        <f aca="false">AK187+AK197</f>
        <v>52461.52988</v>
      </c>
    </row>
    <row r="157" s="115" customFormat="true" ht="33.75" hidden="false" customHeight="true" outlineLevel="0" collapsed="false">
      <c r="A157" s="52" t="s">
        <v>29</v>
      </c>
      <c r="B157" s="52"/>
      <c r="C157" s="47"/>
      <c r="D157" s="47"/>
      <c r="E157" s="47"/>
      <c r="F157" s="47"/>
      <c r="G157" s="50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50"/>
      <c r="W157" s="50"/>
      <c r="X157" s="50"/>
      <c r="Y157" s="50"/>
      <c r="Z157" s="47"/>
      <c r="AA157" s="71"/>
      <c r="AB157" s="50"/>
      <c r="AC157" s="50"/>
      <c r="AD157" s="50"/>
      <c r="AE157" s="50"/>
      <c r="AF157" s="47"/>
      <c r="AG157" s="47"/>
      <c r="AH157" s="53"/>
      <c r="AI157" s="47"/>
      <c r="AJ157" s="48"/>
    </row>
    <row r="158" s="115" customFormat="true" ht="94.5" hidden="false" customHeight="true" outlineLevel="0" collapsed="false">
      <c r="A158" s="54" t="n">
        <v>1</v>
      </c>
      <c r="B158" s="97" t="s">
        <v>164</v>
      </c>
      <c r="C158" s="47"/>
      <c r="D158" s="47"/>
      <c r="E158" s="47"/>
      <c r="F158" s="57" t="n">
        <v>73.2</v>
      </c>
      <c r="G158" s="57" t="n">
        <v>85006.614</v>
      </c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50"/>
      <c r="W158" s="50"/>
      <c r="X158" s="50"/>
      <c r="Y158" s="50"/>
      <c r="Z158" s="47"/>
      <c r="AA158" s="57" t="n">
        <f aca="false">F158</f>
        <v>73.2</v>
      </c>
      <c r="AB158" s="57" t="n">
        <v>85006.614</v>
      </c>
      <c r="AC158" s="50"/>
      <c r="AD158" s="57" t="n">
        <f aca="false">AB158-AE158</f>
        <v>79906.21716</v>
      </c>
      <c r="AE158" s="57" t="n">
        <f aca="false">AB158*0.06</f>
        <v>5100.39684</v>
      </c>
      <c r="AF158" s="47"/>
      <c r="AG158" s="47"/>
      <c r="AH158" s="53"/>
      <c r="AI158" s="47"/>
      <c r="AJ158" s="48"/>
    </row>
    <row r="159" s="115" customFormat="true" ht="113.25" hidden="true" customHeight="true" outlineLevel="0" collapsed="false">
      <c r="A159" s="125"/>
      <c r="B159" s="97" t="s">
        <v>165</v>
      </c>
      <c r="C159" s="47"/>
      <c r="D159" s="47"/>
      <c r="E159" s="47"/>
      <c r="F159" s="57"/>
      <c r="G159" s="5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50"/>
      <c r="W159" s="50"/>
      <c r="X159" s="50"/>
      <c r="Y159" s="50"/>
      <c r="Z159" s="47"/>
      <c r="AA159" s="57"/>
      <c r="AB159" s="57"/>
      <c r="AC159" s="50"/>
      <c r="AD159" s="57"/>
      <c r="AE159" s="57"/>
      <c r="AF159" s="47"/>
      <c r="AG159" s="57"/>
      <c r="AH159" s="57"/>
      <c r="AI159" s="50"/>
      <c r="AJ159" s="80"/>
    </row>
    <row r="160" s="115" customFormat="true" ht="31.5" hidden="false" customHeight="true" outlineLevel="0" collapsed="false">
      <c r="A160" s="126" t="s">
        <v>43</v>
      </c>
      <c r="B160" s="126"/>
      <c r="C160" s="47"/>
      <c r="D160" s="47"/>
      <c r="E160" s="47"/>
      <c r="F160" s="47"/>
      <c r="G160" s="50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50"/>
      <c r="W160" s="50"/>
      <c r="X160" s="50" t="s">
        <v>129</v>
      </c>
      <c r="Y160" s="50"/>
      <c r="Z160" s="47"/>
      <c r="AA160" s="71"/>
      <c r="AB160" s="50"/>
      <c r="AC160" s="50"/>
      <c r="AD160" s="50"/>
      <c r="AE160" s="50"/>
      <c r="AF160" s="47"/>
      <c r="AG160" s="47"/>
      <c r="AH160" s="53"/>
      <c r="AI160" s="47"/>
      <c r="AJ160" s="48"/>
    </row>
    <row r="161" s="115" customFormat="true" ht="71.25" hidden="false" customHeight="true" outlineLevel="0" collapsed="false">
      <c r="A161" s="54" t="n">
        <v>2</v>
      </c>
      <c r="B161" s="97" t="s">
        <v>166</v>
      </c>
      <c r="C161" s="47"/>
      <c r="D161" s="47"/>
      <c r="E161" s="47"/>
      <c r="F161" s="57" t="n">
        <v>37.2</v>
      </c>
      <c r="G161" s="57" t="n">
        <v>30000</v>
      </c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50" t="s">
        <v>48</v>
      </c>
      <c r="W161" s="50" t="s">
        <v>67</v>
      </c>
      <c r="X161" s="50"/>
      <c r="Y161" s="50"/>
      <c r="Z161" s="47" t="s">
        <v>69</v>
      </c>
      <c r="AA161" s="57"/>
      <c r="AB161" s="57"/>
      <c r="AC161" s="50"/>
      <c r="AD161" s="57"/>
      <c r="AE161" s="50"/>
      <c r="AF161" s="47"/>
      <c r="AG161" s="57" t="n">
        <f aca="false">F161</f>
        <v>37.2</v>
      </c>
      <c r="AH161" s="57" t="n">
        <f aca="false">G161</f>
        <v>30000</v>
      </c>
      <c r="AI161" s="50"/>
      <c r="AJ161" s="80" t="n">
        <f aca="false">AH161</f>
        <v>30000</v>
      </c>
    </row>
    <row r="162" s="115" customFormat="true" ht="70.5" hidden="false" customHeight="true" outlineLevel="0" collapsed="false">
      <c r="A162" s="54" t="n">
        <v>3</v>
      </c>
      <c r="B162" s="97" t="s">
        <v>167</v>
      </c>
      <c r="C162" s="47"/>
      <c r="D162" s="47"/>
      <c r="E162" s="47"/>
      <c r="F162" s="57" t="n">
        <v>38.3</v>
      </c>
      <c r="G162" s="57" t="n">
        <v>20000</v>
      </c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50" t="s">
        <v>52</v>
      </c>
      <c r="W162" s="50"/>
      <c r="X162" s="50"/>
      <c r="Y162" s="50"/>
      <c r="Z162" s="47"/>
      <c r="AA162" s="57"/>
      <c r="AB162" s="57"/>
      <c r="AC162" s="50"/>
      <c r="AD162" s="57"/>
      <c r="AE162" s="50"/>
      <c r="AF162" s="47"/>
      <c r="AG162" s="57" t="n">
        <f aca="false">F162</f>
        <v>38.3</v>
      </c>
      <c r="AH162" s="57" t="n">
        <f aca="false">G162</f>
        <v>20000</v>
      </c>
      <c r="AI162" s="50"/>
      <c r="AJ162" s="80" t="n">
        <f aca="false">AH162</f>
        <v>20000</v>
      </c>
    </row>
    <row r="163" s="115" customFormat="true" ht="30.75" hidden="false" customHeight="true" outlineLevel="0" collapsed="false">
      <c r="A163" s="126" t="s">
        <v>58</v>
      </c>
      <c r="B163" s="126"/>
      <c r="C163" s="47"/>
      <c r="D163" s="47"/>
      <c r="E163" s="47"/>
      <c r="F163" s="47"/>
      <c r="G163" s="50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50"/>
      <c r="W163" s="50"/>
      <c r="X163" s="50"/>
      <c r="Y163" s="50"/>
      <c r="Z163" s="47"/>
      <c r="AA163" s="71"/>
      <c r="AB163" s="50"/>
      <c r="AC163" s="50"/>
      <c r="AD163" s="50"/>
      <c r="AE163" s="50"/>
      <c r="AF163" s="47"/>
      <c r="AG163" s="47"/>
      <c r="AH163" s="53"/>
      <c r="AI163" s="47"/>
      <c r="AJ163" s="48"/>
    </row>
    <row r="164" s="115" customFormat="true" ht="66.75" hidden="false" customHeight="true" outlineLevel="0" collapsed="false">
      <c r="A164" s="54" t="n">
        <v>4</v>
      </c>
      <c r="B164" s="97" t="s">
        <v>168</v>
      </c>
      <c r="C164" s="47"/>
      <c r="D164" s="47"/>
      <c r="E164" s="47"/>
      <c r="F164" s="57" t="n">
        <v>73.8</v>
      </c>
      <c r="G164" s="57" t="n">
        <v>126467.1696</v>
      </c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57" t="n">
        <v>43000</v>
      </c>
      <c r="W164" s="50"/>
      <c r="X164" s="57" t="n">
        <f aca="false">V164</f>
        <v>43000</v>
      </c>
      <c r="Y164" s="50"/>
      <c r="Z164" s="47"/>
      <c r="AA164" s="57" t="n">
        <f aca="false">F164</f>
        <v>73.8</v>
      </c>
      <c r="AB164" s="57" t="n">
        <f aca="false">G164-V164</f>
        <v>83467.1696</v>
      </c>
      <c r="AC164" s="50"/>
      <c r="AD164" s="57" t="n">
        <f aca="false">AB164</f>
        <v>83467.1696</v>
      </c>
      <c r="AE164" s="50"/>
      <c r="AF164" s="47"/>
      <c r="AG164" s="47"/>
      <c r="AH164" s="53"/>
      <c r="AI164" s="47"/>
      <c r="AJ164" s="48"/>
    </row>
    <row r="165" s="115" customFormat="true" ht="52.85" hidden="false" customHeight="true" outlineLevel="0" collapsed="false">
      <c r="A165" s="54" t="n">
        <v>5</v>
      </c>
      <c r="B165" s="97" t="s">
        <v>169</v>
      </c>
      <c r="C165" s="47"/>
      <c r="D165" s="47"/>
      <c r="E165" s="47"/>
      <c r="F165" s="57" t="n">
        <v>45.4</v>
      </c>
      <c r="G165" s="57" t="n">
        <f aca="false">19500-2239.9815</f>
        <v>17260.0185</v>
      </c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50"/>
      <c r="W165" s="50"/>
      <c r="X165" s="50"/>
      <c r="Y165" s="50"/>
      <c r="Z165" s="47"/>
      <c r="AA165" s="57" t="n">
        <f aca="false">F165</f>
        <v>45.4</v>
      </c>
      <c r="AB165" s="57" t="n">
        <f aca="false">G165</f>
        <v>17260.0185</v>
      </c>
      <c r="AC165" s="50"/>
      <c r="AD165" s="57" t="n">
        <f aca="false">AB165</f>
        <v>17260.0185</v>
      </c>
      <c r="AE165" s="50"/>
      <c r="AF165" s="47"/>
      <c r="AG165" s="47"/>
      <c r="AH165" s="53"/>
      <c r="AI165" s="47"/>
      <c r="AJ165" s="48"/>
    </row>
    <row r="166" s="115" customFormat="true" ht="32.25" hidden="false" customHeight="true" outlineLevel="0" collapsed="false">
      <c r="A166" s="52" t="s">
        <v>63</v>
      </c>
      <c r="B166" s="52"/>
      <c r="C166" s="60"/>
      <c r="D166" s="60"/>
      <c r="E166" s="60"/>
      <c r="F166" s="60"/>
      <c r="G166" s="60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71"/>
      <c r="T166" s="50"/>
      <c r="U166" s="72"/>
      <c r="V166" s="50"/>
      <c r="W166" s="50"/>
      <c r="X166" s="50"/>
      <c r="Y166" s="50"/>
      <c r="Z166" s="71"/>
      <c r="AA166" s="71"/>
      <c r="AB166" s="71"/>
      <c r="AC166" s="71"/>
      <c r="AD166" s="71"/>
      <c r="AE166" s="71"/>
      <c r="AF166" s="71"/>
      <c r="AG166" s="71"/>
      <c r="AH166" s="127"/>
      <c r="AI166" s="71"/>
      <c r="AJ166" s="128"/>
    </row>
    <row r="167" s="115" customFormat="true" ht="51.8" hidden="false" customHeight="true" outlineLevel="0" collapsed="false">
      <c r="A167" s="54" t="n">
        <v>6</v>
      </c>
      <c r="B167" s="97" t="s">
        <v>170</v>
      </c>
      <c r="C167" s="55"/>
      <c r="D167" s="60"/>
      <c r="E167" s="60"/>
      <c r="F167" s="57" t="n">
        <v>120.68</v>
      </c>
      <c r="G167" s="57" t="n">
        <f aca="false">41351.1+V167</f>
        <v>146559.9</v>
      </c>
      <c r="H167" s="71" t="n">
        <v>146559.9</v>
      </c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71"/>
      <c r="T167" s="50"/>
      <c r="U167" s="57" t="n">
        <f aca="false">F167</f>
        <v>120.68</v>
      </c>
      <c r="V167" s="57" t="n">
        <f aca="false">X167+Y167</f>
        <v>105208.8</v>
      </c>
      <c r="W167" s="57"/>
      <c r="X167" s="129" t="n">
        <v>98896.3</v>
      </c>
      <c r="Y167" s="129" t="n">
        <v>6312.5</v>
      </c>
      <c r="Z167" s="71"/>
      <c r="AA167" s="71"/>
      <c r="AB167" s="71"/>
      <c r="AC167" s="71"/>
      <c r="AD167" s="71"/>
      <c r="AE167" s="71"/>
      <c r="AF167" s="71"/>
      <c r="AG167" s="71"/>
      <c r="AH167" s="127"/>
      <c r="AI167" s="71"/>
      <c r="AJ167" s="128"/>
      <c r="AK167" s="130" t="n">
        <v>41351.1</v>
      </c>
    </row>
    <row r="168" s="115" customFormat="true" ht="63.2" hidden="false" customHeight="true" outlineLevel="0" collapsed="false">
      <c r="A168" s="54" t="n">
        <v>7</v>
      </c>
      <c r="B168" s="97" t="s">
        <v>171</v>
      </c>
      <c r="C168" s="55"/>
      <c r="D168" s="60"/>
      <c r="E168" s="60"/>
      <c r="F168" s="57" t="n">
        <v>69.21</v>
      </c>
      <c r="G168" s="57" t="n">
        <v>63306.05009</v>
      </c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71"/>
      <c r="T168" s="50"/>
      <c r="U168" s="57" t="n">
        <f aca="false">F168</f>
        <v>69.21</v>
      </c>
      <c r="V168" s="57" t="n">
        <f aca="false">G168</f>
        <v>63306.05009</v>
      </c>
      <c r="W168" s="57"/>
      <c r="X168" s="57" t="n">
        <f aca="false">V168</f>
        <v>63306.05009</v>
      </c>
      <c r="Y168" s="57"/>
      <c r="Z168" s="71"/>
      <c r="AA168" s="71"/>
      <c r="AB168" s="71"/>
      <c r="AC168" s="71"/>
      <c r="AD168" s="71"/>
      <c r="AE168" s="71"/>
      <c r="AF168" s="71"/>
      <c r="AG168" s="71" t="s">
        <v>172</v>
      </c>
      <c r="AH168" s="127"/>
      <c r="AI168" s="71"/>
      <c r="AJ168" s="128"/>
    </row>
    <row r="169" s="115" customFormat="true" ht="76.5" hidden="false" customHeight="true" outlineLevel="0" collapsed="false">
      <c r="A169" s="54" t="n">
        <v>8</v>
      </c>
      <c r="B169" s="97" t="s">
        <v>173</v>
      </c>
      <c r="C169" s="55"/>
      <c r="D169" s="60"/>
      <c r="E169" s="60"/>
      <c r="F169" s="57" t="n">
        <v>80.3</v>
      </c>
      <c r="G169" s="57" t="n">
        <f aca="false">33000-3386.74537</f>
        <v>29613.25463</v>
      </c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71"/>
      <c r="T169" s="50"/>
      <c r="U169" s="57"/>
      <c r="V169" s="57"/>
      <c r="W169" s="57"/>
      <c r="X169" s="57"/>
      <c r="Y169" s="57"/>
      <c r="Z169" s="71"/>
      <c r="AA169" s="57" t="n">
        <f aca="false">F169</f>
        <v>80.3</v>
      </c>
      <c r="AB169" s="57" t="n">
        <f aca="false">G169</f>
        <v>29613.25463</v>
      </c>
      <c r="AC169" s="71"/>
      <c r="AD169" s="57" t="n">
        <f aca="false">AB169</f>
        <v>29613.25463</v>
      </c>
      <c r="AE169" s="71"/>
      <c r="AF169" s="71"/>
      <c r="AG169" s="71"/>
      <c r="AH169" s="127"/>
      <c r="AI169" s="71"/>
      <c r="AJ169" s="128"/>
    </row>
    <row r="170" s="115" customFormat="true" ht="42" hidden="false" customHeight="true" outlineLevel="0" collapsed="false">
      <c r="A170" s="52" t="s">
        <v>73</v>
      </c>
      <c r="B170" s="52"/>
      <c r="C170" s="55"/>
      <c r="D170" s="60"/>
      <c r="E170" s="60"/>
      <c r="F170" s="57"/>
      <c r="G170" s="57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71"/>
      <c r="T170" s="50"/>
      <c r="U170" s="57"/>
      <c r="V170" s="57"/>
      <c r="W170" s="57"/>
      <c r="X170" s="57"/>
      <c r="Y170" s="57"/>
      <c r="Z170" s="71"/>
      <c r="AA170" s="57"/>
      <c r="AB170" s="57"/>
      <c r="AC170" s="71"/>
      <c r="AD170" s="57"/>
      <c r="AE170" s="71"/>
      <c r="AF170" s="71"/>
      <c r="AG170" s="71"/>
      <c r="AH170" s="127"/>
      <c r="AI170" s="71"/>
      <c r="AJ170" s="128"/>
    </row>
    <row r="171" s="115" customFormat="true" ht="67.5" hidden="false" customHeight="true" outlineLevel="0" collapsed="false">
      <c r="A171" s="54" t="n">
        <v>9</v>
      </c>
      <c r="B171" s="97" t="s">
        <v>174</v>
      </c>
      <c r="C171" s="55"/>
      <c r="D171" s="60"/>
      <c r="E171" s="60"/>
      <c r="F171" s="57" t="n">
        <v>69.2</v>
      </c>
      <c r="G171" s="57" t="n">
        <f aca="false">31000+1534.64814</f>
        <v>32534.64814</v>
      </c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50"/>
      <c r="U171" s="57"/>
      <c r="V171" s="57"/>
      <c r="W171" s="57"/>
      <c r="X171" s="57"/>
      <c r="Y171" s="57"/>
      <c r="Z171" s="71"/>
      <c r="AA171" s="57" t="n">
        <f aca="false">F171</f>
        <v>69.2</v>
      </c>
      <c r="AB171" s="57" t="n">
        <f aca="false">G171</f>
        <v>32534.64814</v>
      </c>
      <c r="AC171" s="71"/>
      <c r="AD171" s="57" t="n">
        <f aca="false">AB171</f>
        <v>32534.64814</v>
      </c>
      <c r="AE171" s="71"/>
      <c r="AF171" s="71"/>
      <c r="AG171" s="71"/>
      <c r="AH171" s="127"/>
      <c r="AI171" s="71"/>
      <c r="AJ171" s="128"/>
    </row>
    <row r="172" s="115" customFormat="true" ht="33.75" hidden="false" customHeight="true" outlineLevel="0" collapsed="false">
      <c r="A172" s="52" t="s">
        <v>78</v>
      </c>
      <c r="B172" s="52"/>
      <c r="C172" s="60"/>
      <c r="D172" s="60"/>
      <c r="E172" s="60"/>
      <c r="F172" s="60"/>
      <c r="G172" s="50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71"/>
      <c r="T172" s="50"/>
      <c r="U172" s="72"/>
      <c r="V172" s="50"/>
      <c r="W172" s="50"/>
      <c r="X172" s="50"/>
      <c r="Y172" s="50"/>
      <c r="Z172" s="71"/>
      <c r="AA172" s="71"/>
      <c r="AB172" s="71"/>
      <c r="AC172" s="71"/>
      <c r="AD172" s="71"/>
      <c r="AE172" s="71"/>
      <c r="AF172" s="71"/>
      <c r="AG172" s="71"/>
      <c r="AH172" s="127"/>
      <c r="AI172" s="71"/>
      <c r="AJ172" s="128"/>
    </row>
    <row r="173" s="115" customFormat="true" ht="80.25" hidden="false" customHeight="true" outlineLevel="0" collapsed="false">
      <c r="A173" s="54" t="n">
        <v>10</v>
      </c>
      <c r="B173" s="97" t="s">
        <v>175</v>
      </c>
      <c r="C173" s="60"/>
      <c r="D173" s="60"/>
      <c r="E173" s="60"/>
      <c r="F173" s="57" t="n">
        <v>70.9</v>
      </c>
      <c r="G173" s="57" t="n">
        <v>225433.47152</v>
      </c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50"/>
      <c r="U173" s="72"/>
      <c r="V173" s="57" t="n">
        <v>21999.97189</v>
      </c>
      <c r="W173" s="50" t="s">
        <v>67</v>
      </c>
      <c r="X173" s="57" t="n">
        <f aca="false">V173</f>
        <v>21999.97189</v>
      </c>
      <c r="Y173" s="50"/>
      <c r="Z173" s="71"/>
      <c r="AA173" s="57" t="n">
        <v>70.9</v>
      </c>
      <c r="AB173" s="57" t="n">
        <f aca="false">G173-V173</f>
        <v>203433.49963</v>
      </c>
      <c r="AC173" s="71"/>
      <c r="AD173" s="57" t="n">
        <f aca="false">AB173</f>
        <v>203433.49963</v>
      </c>
      <c r="AE173" s="71"/>
      <c r="AF173" s="71"/>
      <c r="AG173" s="71"/>
      <c r="AH173" s="127"/>
      <c r="AI173" s="71"/>
      <c r="AJ173" s="128"/>
    </row>
    <row r="174" s="115" customFormat="true" ht="63" hidden="true" customHeight="true" outlineLevel="0" collapsed="false">
      <c r="A174" s="99" t="n">
        <v>8</v>
      </c>
      <c r="B174" s="97" t="s">
        <v>176</v>
      </c>
      <c r="C174" s="60"/>
      <c r="D174" s="60"/>
      <c r="E174" s="60"/>
      <c r="F174" s="57"/>
      <c r="G174" s="57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71"/>
      <c r="T174" s="50"/>
      <c r="U174" s="72"/>
      <c r="V174" s="50"/>
      <c r="W174" s="50"/>
      <c r="X174" s="50"/>
      <c r="Y174" s="50"/>
      <c r="Z174" s="71"/>
      <c r="AA174" s="57"/>
      <c r="AB174" s="57"/>
      <c r="AC174" s="71"/>
      <c r="AD174" s="57"/>
      <c r="AE174" s="71"/>
      <c r="AF174" s="71"/>
      <c r="AG174" s="71"/>
      <c r="AH174" s="127"/>
      <c r="AI174" s="71"/>
      <c r="AJ174" s="128"/>
    </row>
    <row r="175" s="115" customFormat="true" ht="36" hidden="true" customHeight="true" outlineLevel="0" collapsed="false">
      <c r="A175" s="98" t="s">
        <v>88</v>
      </c>
      <c r="B175" s="98"/>
      <c r="C175" s="60"/>
      <c r="D175" s="60"/>
      <c r="E175" s="60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71"/>
      <c r="T175" s="50"/>
      <c r="U175" s="72"/>
      <c r="V175" s="50"/>
      <c r="W175" s="50"/>
      <c r="X175" s="50"/>
      <c r="Y175" s="50"/>
      <c r="Z175" s="71"/>
      <c r="AA175" s="71"/>
      <c r="AB175" s="71"/>
      <c r="AC175" s="71"/>
      <c r="AD175" s="71"/>
      <c r="AE175" s="71"/>
      <c r="AF175" s="71"/>
      <c r="AG175" s="71"/>
      <c r="AH175" s="127"/>
      <c r="AI175" s="71"/>
      <c r="AJ175" s="128"/>
    </row>
    <row r="176" s="115" customFormat="true" ht="54.75" hidden="true" customHeight="true" outlineLevel="0" collapsed="false">
      <c r="A176" s="99"/>
      <c r="B176" s="97" t="s">
        <v>177</v>
      </c>
      <c r="C176" s="60"/>
      <c r="D176" s="60"/>
      <c r="E176" s="60"/>
      <c r="F176" s="57"/>
      <c r="G176" s="57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71"/>
      <c r="T176" s="50"/>
      <c r="U176" s="72"/>
      <c r="V176" s="50"/>
      <c r="W176" s="50"/>
      <c r="X176" s="50"/>
      <c r="Y176" s="50"/>
      <c r="Z176" s="71"/>
      <c r="AA176" s="57"/>
      <c r="AB176" s="57" t="n">
        <f aca="false">G176</f>
        <v>0</v>
      </c>
      <c r="AC176" s="71"/>
      <c r="AD176" s="57" t="n">
        <f aca="false">AB176</f>
        <v>0</v>
      </c>
      <c r="AE176" s="71"/>
      <c r="AF176" s="71"/>
      <c r="AG176" s="71"/>
      <c r="AH176" s="127"/>
      <c r="AI176" s="71"/>
      <c r="AJ176" s="128"/>
    </row>
    <row r="177" s="115" customFormat="true" ht="30.75" hidden="false" customHeight="true" outlineLevel="0" collapsed="false">
      <c r="A177" s="52" t="s">
        <v>91</v>
      </c>
      <c r="B177" s="52"/>
      <c r="C177" s="60"/>
      <c r="D177" s="60"/>
      <c r="E177" s="60"/>
      <c r="F177" s="71"/>
      <c r="G177" s="13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71"/>
      <c r="T177" s="50"/>
      <c r="U177" s="72"/>
      <c r="V177" s="57"/>
      <c r="W177" s="50"/>
      <c r="X177" s="50"/>
      <c r="Y177" s="50"/>
      <c r="Z177" s="71"/>
      <c r="AA177" s="71"/>
      <c r="AB177" s="71"/>
      <c r="AC177" s="71"/>
      <c r="AD177" s="57"/>
      <c r="AE177" s="71"/>
      <c r="AF177" s="71"/>
      <c r="AG177" s="71"/>
      <c r="AH177" s="127"/>
      <c r="AI177" s="71"/>
      <c r="AJ177" s="128"/>
    </row>
    <row r="178" s="115" customFormat="true" ht="46.5" hidden="false" customHeight="true" outlineLevel="0" collapsed="false">
      <c r="A178" s="54" t="n">
        <v>11</v>
      </c>
      <c r="B178" s="97" t="s">
        <v>178</v>
      </c>
      <c r="C178" s="60"/>
      <c r="D178" s="60"/>
      <c r="E178" s="60"/>
      <c r="F178" s="57" t="n">
        <v>51.2</v>
      </c>
      <c r="G178" s="57" t="n">
        <f aca="false">19500-2110.24684</f>
        <v>17389.75316</v>
      </c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71"/>
      <c r="T178" s="50"/>
      <c r="U178" s="72"/>
      <c r="V178" s="50"/>
      <c r="W178" s="50"/>
      <c r="X178" s="50"/>
      <c r="Y178" s="50"/>
      <c r="Z178" s="71"/>
      <c r="AA178" s="57" t="n">
        <v>51.2</v>
      </c>
      <c r="AB178" s="57" t="n">
        <f aca="false">G178</f>
        <v>17389.75316</v>
      </c>
      <c r="AC178" s="71"/>
      <c r="AD178" s="57" t="n">
        <f aca="false">AB178</f>
        <v>17389.75316</v>
      </c>
      <c r="AE178" s="71"/>
      <c r="AF178" s="71"/>
      <c r="AG178" s="71"/>
      <c r="AH178" s="127"/>
      <c r="AI178" s="71"/>
      <c r="AJ178" s="128"/>
    </row>
    <row r="179" s="115" customFormat="true" ht="36" hidden="false" customHeight="true" outlineLevel="0" collapsed="false">
      <c r="A179" s="52" t="s">
        <v>100</v>
      </c>
      <c r="B179" s="52"/>
      <c r="C179" s="60"/>
      <c r="D179" s="60"/>
      <c r="E179" s="60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71"/>
      <c r="T179" s="50"/>
      <c r="U179" s="72"/>
      <c r="V179" s="50"/>
      <c r="W179" s="50"/>
      <c r="X179" s="50"/>
      <c r="Y179" s="50"/>
      <c r="Z179" s="71"/>
      <c r="AA179" s="71"/>
      <c r="AB179" s="71"/>
      <c r="AC179" s="71"/>
      <c r="AD179" s="71"/>
      <c r="AE179" s="71"/>
      <c r="AF179" s="71"/>
      <c r="AG179" s="71"/>
      <c r="AH179" s="127"/>
      <c r="AI179" s="71"/>
      <c r="AJ179" s="128"/>
    </row>
    <row r="180" s="115" customFormat="true" ht="64.5" hidden="false" customHeight="true" outlineLevel="0" collapsed="false">
      <c r="A180" s="54" t="n">
        <v>12</v>
      </c>
      <c r="B180" s="97" t="s">
        <v>179</v>
      </c>
      <c r="C180" s="60"/>
      <c r="D180" s="60"/>
      <c r="E180" s="60"/>
      <c r="F180" s="57" t="n">
        <v>50.9</v>
      </c>
      <c r="G180" s="57" t="n">
        <v>15478.27</v>
      </c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71"/>
      <c r="T180" s="50"/>
      <c r="U180" s="57" t="n">
        <f aca="false">F180</f>
        <v>50.9</v>
      </c>
      <c r="V180" s="57" t="n">
        <f aca="false">G180</f>
        <v>15478.27</v>
      </c>
      <c r="W180" s="57"/>
      <c r="X180" s="57" t="n">
        <f aca="false">V180</f>
        <v>15478.27</v>
      </c>
      <c r="Y180" s="50"/>
      <c r="Z180" s="71"/>
      <c r="AA180" s="71"/>
      <c r="AB180" s="71"/>
      <c r="AC180" s="71"/>
      <c r="AD180" s="71"/>
      <c r="AE180" s="71"/>
      <c r="AF180" s="71"/>
      <c r="AG180" s="71"/>
      <c r="AH180" s="127"/>
      <c r="AI180" s="71"/>
      <c r="AJ180" s="128"/>
    </row>
    <row r="181" s="115" customFormat="true" ht="52.5" hidden="false" customHeight="true" outlineLevel="0" collapsed="false">
      <c r="A181" s="54" t="n">
        <v>13</v>
      </c>
      <c r="B181" s="132" t="s">
        <v>180</v>
      </c>
      <c r="C181" s="60"/>
      <c r="D181" s="60"/>
      <c r="E181" s="60"/>
      <c r="F181" s="57" t="n">
        <v>67.7</v>
      </c>
      <c r="G181" s="57" t="n">
        <f aca="false">28000-1534.64814</f>
        <v>26465.35186</v>
      </c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71"/>
      <c r="T181" s="50"/>
      <c r="U181" s="57"/>
      <c r="V181" s="57"/>
      <c r="W181" s="57"/>
      <c r="X181" s="57"/>
      <c r="Y181" s="50"/>
      <c r="Z181" s="71"/>
      <c r="AA181" s="57" t="n">
        <v>67.7</v>
      </c>
      <c r="AB181" s="57" t="n">
        <f aca="false">G181</f>
        <v>26465.35186</v>
      </c>
      <c r="AC181" s="71"/>
      <c r="AD181" s="57" t="n">
        <f aca="false">AB181</f>
        <v>26465.35186</v>
      </c>
      <c r="AE181" s="71"/>
      <c r="AF181" s="71"/>
      <c r="AG181" s="71"/>
      <c r="AH181" s="127"/>
      <c r="AI181" s="71"/>
      <c r="AJ181" s="128"/>
    </row>
    <row r="182" s="115" customFormat="true" ht="36" hidden="false" customHeight="true" outlineLevel="0" collapsed="false">
      <c r="A182" s="52" t="s">
        <v>117</v>
      </c>
      <c r="B182" s="52"/>
      <c r="C182" s="60"/>
      <c r="D182" s="133"/>
      <c r="E182" s="133"/>
      <c r="F182" s="57"/>
      <c r="G182" s="57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71"/>
      <c r="T182" s="50"/>
      <c r="U182" s="72"/>
      <c r="V182" s="50"/>
      <c r="W182" s="50"/>
      <c r="X182" s="50"/>
      <c r="Y182" s="50"/>
      <c r="Z182" s="71"/>
      <c r="AA182" s="85"/>
      <c r="AB182" s="57"/>
      <c r="AC182" s="57"/>
      <c r="AD182" s="57"/>
      <c r="AE182" s="57"/>
      <c r="AF182" s="71"/>
      <c r="AG182" s="71"/>
      <c r="AH182" s="127"/>
      <c r="AI182" s="71"/>
      <c r="AJ182" s="128"/>
    </row>
    <row r="183" s="115" customFormat="true" ht="62.25" hidden="false" customHeight="true" outlineLevel="0" collapsed="false">
      <c r="A183" s="54" t="n">
        <v>14</v>
      </c>
      <c r="B183" s="132" t="s">
        <v>181</v>
      </c>
      <c r="C183" s="60"/>
      <c r="D183" s="133"/>
      <c r="E183" s="133"/>
      <c r="F183" s="57" t="n">
        <v>216.28</v>
      </c>
      <c r="G183" s="57" t="n">
        <v>375000</v>
      </c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71"/>
      <c r="T183" s="50"/>
      <c r="U183" s="72"/>
      <c r="V183" s="50"/>
      <c r="W183" s="50"/>
      <c r="X183" s="50"/>
      <c r="Y183" s="50"/>
      <c r="Z183" s="71"/>
      <c r="AA183" s="57" t="n">
        <v>216.28</v>
      </c>
      <c r="AB183" s="57" t="n">
        <v>375000</v>
      </c>
      <c r="AC183" s="57"/>
      <c r="AD183" s="57" t="n">
        <f aca="false">352500-249500+249500</f>
        <v>352500</v>
      </c>
      <c r="AE183" s="57" t="n">
        <f aca="false">AB183-AD183</f>
        <v>22500</v>
      </c>
      <c r="AF183" s="71"/>
      <c r="AG183" s="71"/>
      <c r="AH183" s="127"/>
      <c r="AI183" s="71"/>
      <c r="AJ183" s="128"/>
    </row>
    <row r="184" s="115" customFormat="true" ht="30.75" hidden="false" customHeight="true" outlineLevel="0" collapsed="false">
      <c r="A184" s="52" t="s">
        <v>182</v>
      </c>
      <c r="B184" s="52"/>
      <c r="C184" s="60"/>
      <c r="D184" s="133"/>
      <c r="E184" s="133"/>
      <c r="F184" s="85"/>
      <c r="G184" s="57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50"/>
      <c r="U184" s="72"/>
      <c r="V184" s="50"/>
      <c r="W184" s="50"/>
      <c r="X184" s="50"/>
      <c r="Y184" s="50"/>
      <c r="Z184" s="71"/>
      <c r="AA184" s="85"/>
      <c r="AB184" s="57"/>
      <c r="AC184" s="57"/>
      <c r="AD184" s="57"/>
      <c r="AE184" s="57"/>
      <c r="AF184" s="71"/>
      <c r="AG184" s="71"/>
      <c r="AH184" s="127"/>
      <c r="AI184" s="71"/>
      <c r="AJ184" s="128"/>
    </row>
    <row r="185" s="115" customFormat="true" ht="77.25" hidden="false" customHeight="true" outlineLevel="0" collapsed="false">
      <c r="A185" s="54" t="n">
        <v>15</v>
      </c>
      <c r="B185" s="132" t="s">
        <v>183</v>
      </c>
      <c r="C185" s="60"/>
      <c r="D185" s="133"/>
      <c r="E185" s="133"/>
      <c r="F185" s="57" t="n">
        <v>39.7</v>
      </c>
      <c r="G185" s="57" t="n">
        <v>10933.88382</v>
      </c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71"/>
      <c r="T185" s="50"/>
      <c r="U185" s="72"/>
      <c r="V185" s="50"/>
      <c r="W185" s="50"/>
      <c r="X185" s="50"/>
      <c r="Y185" s="50"/>
      <c r="Z185" s="71"/>
      <c r="AA185" s="57" t="n">
        <v>39.7</v>
      </c>
      <c r="AB185" s="57" t="n">
        <f aca="false">G185</f>
        <v>10933.88382</v>
      </c>
      <c r="AC185" s="57"/>
      <c r="AD185" s="57" t="n">
        <f aca="false">AB185</f>
        <v>10933.88382</v>
      </c>
      <c r="AE185" s="57"/>
      <c r="AF185" s="71"/>
      <c r="AG185" s="71"/>
      <c r="AH185" s="127"/>
      <c r="AI185" s="71"/>
      <c r="AJ185" s="128"/>
    </row>
    <row r="186" s="115" customFormat="true" ht="36" hidden="false" customHeight="true" outlineLevel="0" collapsed="false">
      <c r="A186" s="52" t="s">
        <v>138</v>
      </c>
      <c r="B186" s="52"/>
      <c r="C186" s="60"/>
      <c r="D186" s="133"/>
      <c r="E186" s="133"/>
      <c r="F186" s="57"/>
      <c r="G186" s="57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71"/>
      <c r="T186" s="50"/>
      <c r="U186" s="72"/>
      <c r="V186" s="50"/>
      <c r="W186" s="50"/>
      <c r="X186" s="50"/>
      <c r="Y186" s="50"/>
      <c r="Z186" s="71"/>
      <c r="AA186" s="85"/>
      <c r="AB186" s="57"/>
      <c r="AC186" s="57"/>
      <c r="AD186" s="57"/>
      <c r="AE186" s="57"/>
      <c r="AF186" s="71"/>
      <c r="AG186" s="71"/>
      <c r="AH186" s="127"/>
      <c r="AI186" s="71"/>
      <c r="AJ186" s="128"/>
    </row>
    <row r="187" s="115" customFormat="true" ht="72.75" hidden="false" customHeight="true" outlineLevel="0" collapsed="false">
      <c r="A187" s="54" t="n">
        <v>16</v>
      </c>
      <c r="B187" s="134" t="s">
        <v>184</v>
      </c>
      <c r="C187" s="97"/>
      <c r="D187" s="133"/>
      <c r="E187" s="133"/>
      <c r="F187" s="57" t="n">
        <v>60.15</v>
      </c>
      <c r="G187" s="57" t="n">
        <f aca="false">30538.1+V187</f>
        <v>181508.02274</v>
      </c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71"/>
      <c r="T187" s="50"/>
      <c r="U187" s="57" t="n">
        <v>60.15</v>
      </c>
      <c r="V187" s="57" t="n">
        <v>150969.92274</v>
      </c>
      <c r="W187" s="57"/>
      <c r="X187" s="129" t="n">
        <v>140402.02815</v>
      </c>
      <c r="Y187" s="129" t="n">
        <f aca="false">V187-X187</f>
        <v>10567.89459</v>
      </c>
      <c r="Z187" s="71"/>
      <c r="AA187" s="71"/>
      <c r="AB187" s="50"/>
      <c r="AC187" s="50"/>
      <c r="AD187" s="50"/>
      <c r="AE187" s="50"/>
      <c r="AF187" s="71"/>
      <c r="AG187" s="71"/>
      <c r="AH187" s="127"/>
      <c r="AI187" s="71"/>
      <c r="AJ187" s="128"/>
      <c r="AK187" s="130" t="n">
        <v>30538.12988</v>
      </c>
    </row>
    <row r="188" s="115" customFormat="true" ht="65.25" hidden="false" customHeight="true" outlineLevel="0" collapsed="false">
      <c r="A188" s="54" t="n">
        <v>17</v>
      </c>
      <c r="B188" s="134" t="s">
        <v>185</v>
      </c>
      <c r="C188" s="55"/>
      <c r="D188" s="60"/>
      <c r="E188" s="60"/>
      <c r="F188" s="57" t="n">
        <v>69.9</v>
      </c>
      <c r="G188" s="129" t="n">
        <f aca="false">28530+V188</f>
        <v>65674.7634</v>
      </c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50"/>
      <c r="U188" s="57" t="n">
        <v>69.9</v>
      </c>
      <c r="V188" s="57" t="n">
        <v>37144.7634</v>
      </c>
      <c r="W188" s="57"/>
      <c r="X188" s="129" t="n">
        <f aca="false">V188</f>
        <v>37144.7634</v>
      </c>
      <c r="Y188" s="57"/>
      <c r="Z188" s="71"/>
      <c r="AA188" s="71"/>
      <c r="AB188" s="71"/>
      <c r="AC188" s="71"/>
      <c r="AD188" s="71"/>
      <c r="AE188" s="71"/>
      <c r="AF188" s="71"/>
      <c r="AG188" s="71"/>
      <c r="AH188" s="127"/>
      <c r="AI188" s="71"/>
      <c r="AJ188" s="128"/>
      <c r="AK188" s="135" t="n">
        <v>28530</v>
      </c>
    </row>
    <row r="189" s="115" customFormat="true" ht="73.5" hidden="false" customHeight="true" outlineLevel="0" collapsed="false">
      <c r="A189" s="54" t="n">
        <v>18</v>
      </c>
      <c r="B189" s="134" t="s">
        <v>186</v>
      </c>
      <c r="C189" s="55"/>
      <c r="D189" s="60"/>
      <c r="E189" s="60"/>
      <c r="F189" s="57" t="n">
        <v>69.9</v>
      </c>
      <c r="G189" s="129" t="n">
        <f aca="false">18520+V189</f>
        <v>65644.46839</v>
      </c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71"/>
      <c r="T189" s="50"/>
      <c r="U189" s="57" t="n">
        <v>69.9</v>
      </c>
      <c r="V189" s="57" t="n">
        <v>47124.46839</v>
      </c>
      <c r="W189" s="57"/>
      <c r="X189" s="129" t="n">
        <f aca="false">V189</f>
        <v>47124.46839</v>
      </c>
      <c r="Y189" s="50"/>
      <c r="Z189" s="71"/>
      <c r="AA189" s="50"/>
      <c r="AB189" s="57"/>
      <c r="AC189" s="57"/>
      <c r="AD189" s="57"/>
      <c r="AE189" s="57"/>
      <c r="AF189" s="71" t="s">
        <v>129</v>
      </c>
      <c r="AG189" s="71" t="s">
        <v>52</v>
      </c>
      <c r="AH189" s="127"/>
      <c r="AI189" s="71"/>
      <c r="AJ189" s="128"/>
      <c r="AK189" s="135" t="n">
        <v>18520</v>
      </c>
    </row>
    <row r="190" s="115" customFormat="true" ht="79.5" hidden="false" customHeight="true" outlineLevel="0" collapsed="false">
      <c r="A190" s="54" t="n">
        <v>19</v>
      </c>
      <c r="B190" s="134" t="s">
        <v>187</v>
      </c>
      <c r="C190" s="66"/>
      <c r="D190" s="60"/>
      <c r="E190" s="60"/>
      <c r="F190" s="57" t="n">
        <v>66.2</v>
      </c>
      <c r="G190" s="129" t="n">
        <f aca="false">13396.62055+V190</f>
        <v>63566.3329</v>
      </c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71"/>
      <c r="T190" s="50"/>
      <c r="U190" s="57" t="n">
        <v>66.2</v>
      </c>
      <c r="V190" s="57" t="n">
        <f aca="false">45631.3329+5000-461.62055</f>
        <v>50169.71235</v>
      </c>
      <c r="W190" s="57"/>
      <c r="X190" s="129" t="n">
        <f aca="false">V190</f>
        <v>50169.71235</v>
      </c>
      <c r="Y190" s="50"/>
      <c r="Z190" s="71"/>
      <c r="AA190" s="71"/>
      <c r="AB190" s="50"/>
      <c r="AC190" s="50"/>
      <c r="AD190" s="50"/>
      <c r="AE190" s="50"/>
      <c r="AF190" s="71"/>
      <c r="AG190" s="71" t="s">
        <v>67</v>
      </c>
      <c r="AH190" s="127"/>
      <c r="AI190" s="71"/>
      <c r="AJ190" s="128"/>
      <c r="AK190" s="135" t="n">
        <v>13396.62055</v>
      </c>
    </row>
    <row r="191" s="115" customFormat="true" ht="77.25" hidden="false" customHeight="true" outlineLevel="0" collapsed="false">
      <c r="A191" s="54" t="n">
        <v>20</v>
      </c>
      <c r="B191" s="134" t="s">
        <v>188</v>
      </c>
      <c r="C191" s="66"/>
      <c r="D191" s="60"/>
      <c r="E191" s="60"/>
      <c r="F191" s="57" t="n">
        <v>78.2</v>
      </c>
      <c r="G191" s="129" t="n">
        <f aca="false">28620+V191</f>
        <v>100410.93807</v>
      </c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71"/>
      <c r="T191" s="50"/>
      <c r="U191" s="57" t="n">
        <v>78.2</v>
      </c>
      <c r="V191" s="129" t="n">
        <v>71790.93807</v>
      </c>
      <c r="W191" s="57"/>
      <c r="X191" s="129" t="n">
        <f aca="false">V191</f>
        <v>71790.93807</v>
      </c>
      <c r="Y191" s="71"/>
      <c r="Z191" s="71"/>
      <c r="AA191" s="71"/>
      <c r="AB191" s="71"/>
      <c r="AC191" s="71"/>
      <c r="AD191" s="71"/>
      <c r="AE191" s="71"/>
      <c r="AF191" s="71"/>
      <c r="AG191" s="71"/>
      <c r="AH191" s="127"/>
      <c r="AI191" s="71"/>
      <c r="AJ191" s="128"/>
      <c r="AK191" s="135" t="n">
        <v>28620</v>
      </c>
    </row>
    <row r="192" s="115" customFormat="true" ht="69.75" hidden="false" customHeight="true" outlineLevel="0" collapsed="false">
      <c r="A192" s="99" t="n">
        <v>21</v>
      </c>
      <c r="B192" s="134" t="s">
        <v>189</v>
      </c>
      <c r="C192" s="66"/>
      <c r="D192" s="60"/>
      <c r="E192" s="60"/>
      <c r="F192" s="57" t="n">
        <v>50.7</v>
      </c>
      <c r="G192" s="129" t="n">
        <v>70000</v>
      </c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71"/>
      <c r="T192" s="50"/>
      <c r="U192" s="57"/>
      <c r="V192" s="57" t="s">
        <v>129</v>
      </c>
      <c r="W192" s="57"/>
      <c r="X192" s="129"/>
      <c r="Y192" s="71"/>
      <c r="Z192" s="71"/>
      <c r="AA192" s="57"/>
      <c r="AB192" s="57"/>
      <c r="AC192" s="71"/>
      <c r="AD192" s="57"/>
      <c r="AE192" s="71"/>
      <c r="AF192" s="71"/>
      <c r="AG192" s="57" t="n">
        <f aca="false">F192</f>
        <v>50.7</v>
      </c>
      <c r="AH192" s="57" t="n">
        <f aca="false">G192</f>
        <v>70000</v>
      </c>
      <c r="AI192" s="50"/>
      <c r="AJ192" s="80" t="n">
        <f aca="false">AH192</f>
        <v>70000</v>
      </c>
    </row>
    <row r="193" s="115" customFormat="true" ht="51" hidden="false" customHeight="true" outlineLevel="0" collapsed="false">
      <c r="A193" s="136" t="n">
        <v>22</v>
      </c>
      <c r="B193" s="134" t="s">
        <v>190</v>
      </c>
      <c r="C193" s="66"/>
      <c r="D193" s="60"/>
      <c r="E193" s="60"/>
      <c r="F193" s="57" t="n">
        <v>77.8</v>
      </c>
      <c r="G193" s="129" t="n">
        <v>248080</v>
      </c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71"/>
      <c r="T193" s="50"/>
      <c r="U193" s="57"/>
      <c r="V193" s="57"/>
      <c r="W193" s="57"/>
      <c r="X193" s="129"/>
      <c r="Y193" s="71"/>
      <c r="Z193" s="71"/>
      <c r="AA193" s="57"/>
      <c r="AB193" s="57"/>
      <c r="AC193" s="71" t="s">
        <v>67</v>
      </c>
      <c r="AD193" s="57"/>
      <c r="AE193" s="71"/>
      <c r="AF193" s="71"/>
      <c r="AG193" s="57" t="n">
        <f aca="false">F193</f>
        <v>77.8</v>
      </c>
      <c r="AH193" s="57" t="n">
        <f aca="false">G193</f>
        <v>248080</v>
      </c>
      <c r="AI193" s="50"/>
      <c r="AJ193" s="80" t="n">
        <f aca="false">AH193</f>
        <v>248080</v>
      </c>
    </row>
    <row r="194" s="138" customFormat="true" ht="31.5" hidden="false" customHeight="true" outlineLevel="0" collapsed="false">
      <c r="A194" s="52" t="s">
        <v>191</v>
      </c>
      <c r="B194" s="52"/>
      <c r="C194" s="66"/>
      <c r="D194" s="60"/>
      <c r="E194" s="60"/>
      <c r="F194" s="57"/>
      <c r="G194" s="137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71"/>
      <c r="T194" s="50"/>
      <c r="U194" s="57"/>
      <c r="V194" s="57"/>
      <c r="W194" s="57"/>
      <c r="X194" s="129"/>
      <c r="Y194" s="71"/>
      <c r="Z194" s="71"/>
      <c r="AA194" s="71"/>
      <c r="AB194" s="71"/>
      <c r="AC194" s="71"/>
      <c r="AD194" s="71"/>
      <c r="AE194" s="71"/>
      <c r="AF194" s="71"/>
      <c r="AG194" s="71"/>
      <c r="AH194" s="127"/>
      <c r="AI194" s="71"/>
      <c r="AJ194" s="128"/>
    </row>
    <row r="195" s="138" customFormat="true" ht="65.25" hidden="false" customHeight="true" outlineLevel="0" collapsed="false">
      <c r="A195" s="54" t="n">
        <v>23</v>
      </c>
      <c r="B195" s="134" t="s">
        <v>192</v>
      </c>
      <c r="C195" s="47"/>
      <c r="D195" s="47"/>
      <c r="E195" s="139"/>
      <c r="F195" s="57" t="n">
        <v>160.7</v>
      </c>
      <c r="G195" s="129" t="n">
        <f aca="false">27845.37945+V195</f>
        <v>46367.12242</v>
      </c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71"/>
      <c r="T195" s="50"/>
      <c r="U195" s="57" t="n">
        <v>160.7</v>
      </c>
      <c r="V195" s="129" t="n">
        <v>18521.74297</v>
      </c>
      <c r="W195" s="57"/>
      <c r="X195" s="129" t="n">
        <f aca="false">V195</f>
        <v>18521.74297</v>
      </c>
      <c r="Y195" s="140"/>
      <c r="Z195" s="47"/>
      <c r="AA195" s="47"/>
      <c r="AB195" s="47"/>
      <c r="AC195" s="47"/>
      <c r="AD195" s="47"/>
      <c r="AE195" s="47"/>
      <c r="AF195" s="47"/>
      <c r="AG195" s="47"/>
      <c r="AH195" s="53"/>
      <c r="AI195" s="47"/>
      <c r="AJ195" s="48"/>
      <c r="AK195" s="135" t="n">
        <v>27845.37945</v>
      </c>
    </row>
    <row r="196" s="138" customFormat="true" ht="33.75" hidden="false" customHeight="true" outlineLevel="0" collapsed="false">
      <c r="A196" s="52" t="s">
        <v>146</v>
      </c>
      <c r="B196" s="52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53"/>
      <c r="AI196" s="47"/>
      <c r="AJ196" s="48"/>
    </row>
    <row r="197" s="138" customFormat="true" ht="42.45" hidden="false" customHeight="true" outlineLevel="0" collapsed="false">
      <c r="A197" s="141" t="n">
        <v>24</v>
      </c>
      <c r="B197" s="142" t="s">
        <v>193</v>
      </c>
      <c r="C197" s="143"/>
      <c r="D197" s="144"/>
      <c r="E197" s="145"/>
      <c r="F197" s="146" t="n">
        <v>88</v>
      </c>
      <c r="G197" s="146" t="n">
        <f aca="false">21923.4+V197</f>
        <v>50519.12285</v>
      </c>
      <c r="H197" s="144"/>
      <c r="I197" s="144"/>
      <c r="J197" s="144"/>
      <c r="K197" s="144"/>
      <c r="L197" s="144"/>
      <c r="M197" s="144"/>
      <c r="N197" s="144"/>
      <c r="O197" s="144"/>
      <c r="P197" s="144"/>
      <c r="Q197" s="144"/>
      <c r="R197" s="144"/>
      <c r="S197" s="144"/>
      <c r="T197" s="145"/>
      <c r="U197" s="146" t="n">
        <f aca="false">F197</f>
        <v>88</v>
      </c>
      <c r="V197" s="146" t="n">
        <f aca="false">X197+Y197</f>
        <v>28595.72285</v>
      </c>
      <c r="W197" s="146"/>
      <c r="X197" s="147" t="n">
        <v>26879.97948</v>
      </c>
      <c r="Y197" s="147" t="n">
        <v>1715.74337</v>
      </c>
      <c r="Z197" s="144" t="s">
        <v>129</v>
      </c>
      <c r="AA197" s="144"/>
      <c r="AB197" s="144"/>
      <c r="AC197" s="144" t="s">
        <v>52</v>
      </c>
      <c r="AD197" s="144"/>
      <c r="AE197" s="144"/>
      <c r="AF197" s="144"/>
      <c r="AG197" s="144"/>
      <c r="AH197" s="148"/>
      <c r="AI197" s="144"/>
      <c r="AJ197" s="149"/>
      <c r="AK197" s="130" t="n">
        <v>21923.4</v>
      </c>
    </row>
    <row r="198" s="138" customFormat="true" ht="29.25" hidden="true" customHeight="true" outlineLevel="0" collapsed="false">
      <c r="A198" s="150"/>
      <c r="B198" s="150"/>
      <c r="C198" s="150"/>
      <c r="D198" s="151"/>
      <c r="E198" s="152"/>
      <c r="F198" s="153"/>
      <c r="G198" s="154"/>
      <c r="H198" s="155"/>
      <c r="I198" s="151"/>
      <c r="J198" s="151"/>
      <c r="K198" s="151"/>
      <c r="L198" s="151"/>
      <c r="M198" s="151"/>
      <c r="N198" s="151"/>
      <c r="O198" s="151"/>
      <c r="P198" s="151"/>
      <c r="Q198" s="151"/>
      <c r="R198" s="151"/>
      <c r="S198" s="151"/>
      <c r="T198" s="152"/>
      <c r="U198" s="153"/>
      <c r="V198" s="154"/>
      <c r="W198" s="154"/>
      <c r="X198" s="154"/>
      <c r="Y198" s="154"/>
      <c r="Z198" s="151"/>
      <c r="AA198" s="151"/>
      <c r="AB198" s="151"/>
      <c r="AC198" s="151"/>
      <c r="AD198" s="151"/>
      <c r="AE198" s="151"/>
      <c r="AF198" s="151"/>
      <c r="AG198" s="151"/>
      <c r="AH198" s="156"/>
      <c r="AI198" s="157"/>
      <c r="AJ198" s="157"/>
    </row>
    <row r="199" s="138" customFormat="true" ht="16.5" hidden="false" customHeight="false" outlineLevel="0" collapsed="false">
      <c r="A199" s="158"/>
      <c r="H199" s="13"/>
    </row>
    <row r="200" s="138" customFormat="true" ht="16.5" hidden="false" customHeight="false" outlineLevel="0" collapsed="false">
      <c r="A200" s="158"/>
      <c r="H200" s="13"/>
    </row>
    <row r="201" s="138" customFormat="true" ht="16.5" hidden="false" customHeight="false" outlineLevel="0" collapsed="false">
      <c r="A201" s="158"/>
      <c r="H201" s="13"/>
    </row>
    <row r="202" s="138" customFormat="true" ht="16.5" hidden="false" customHeight="false" outlineLevel="0" collapsed="false">
      <c r="A202" s="158"/>
      <c r="H202" s="13"/>
    </row>
    <row r="203" s="138" customFormat="true" ht="16.5" hidden="false" customHeight="false" outlineLevel="0" collapsed="false">
      <c r="A203" s="158"/>
      <c r="H203" s="13"/>
    </row>
    <row r="204" s="138" customFormat="true" ht="16.5" hidden="false" customHeight="false" outlineLevel="0" collapsed="false">
      <c r="A204" s="158"/>
      <c r="H204" s="13"/>
    </row>
    <row r="205" s="138" customFormat="true" ht="16.5" hidden="false" customHeight="false" outlineLevel="0" collapsed="false">
      <c r="A205" s="158"/>
    </row>
    <row r="206" s="138" customFormat="true" ht="16.5" hidden="false" customHeight="false" outlineLevel="0" collapsed="false">
      <c r="A206" s="158"/>
    </row>
    <row r="207" s="138" customFormat="true" ht="16.5" hidden="false" customHeight="false" outlineLevel="0" collapsed="false">
      <c r="A207" s="158"/>
    </row>
    <row r="208" s="138" customFormat="true" ht="16.5" hidden="false" customHeight="false" outlineLevel="0" collapsed="false">
      <c r="A208" s="158"/>
    </row>
    <row r="209" s="138" customFormat="true" ht="16.5" hidden="false" customHeight="false" outlineLevel="0" collapsed="false">
      <c r="A209" s="158"/>
    </row>
    <row r="210" s="138" customFormat="true" ht="16.5" hidden="false" customHeight="false" outlineLevel="0" collapsed="false">
      <c r="A210" s="158"/>
    </row>
    <row r="211" s="138" customFormat="true" ht="16.5" hidden="false" customHeight="false" outlineLevel="0" collapsed="false">
      <c r="A211" s="158"/>
    </row>
    <row r="212" s="138" customFormat="true" ht="16.5" hidden="false" customHeight="false" outlineLevel="0" collapsed="false">
      <c r="A212" s="158"/>
    </row>
    <row r="213" s="138" customFormat="true" ht="16.5" hidden="false" customHeight="false" outlineLevel="0" collapsed="false">
      <c r="A213" s="158"/>
    </row>
    <row r="214" s="138" customFormat="true" ht="16.5" hidden="false" customHeight="false" outlineLevel="0" collapsed="false">
      <c r="A214" s="158"/>
    </row>
    <row r="215" s="138" customFormat="true" ht="16.5" hidden="false" customHeight="false" outlineLevel="0" collapsed="false">
      <c r="A215" s="158"/>
    </row>
    <row r="216" s="138" customFormat="true" ht="16.5" hidden="false" customHeight="false" outlineLevel="0" collapsed="false">
      <c r="A216" s="158"/>
    </row>
    <row r="217" s="138" customFormat="true" ht="16.5" hidden="false" customHeight="false" outlineLevel="0" collapsed="false">
      <c r="A217" s="158"/>
    </row>
    <row r="218" s="138" customFormat="true" ht="16.5" hidden="false" customHeight="false" outlineLevel="0" collapsed="false">
      <c r="A218" s="158"/>
    </row>
    <row r="219" s="138" customFormat="true" ht="16.5" hidden="false" customHeight="false" outlineLevel="0" collapsed="false">
      <c r="A219" s="158"/>
    </row>
    <row r="220" s="138" customFormat="true" ht="16.5" hidden="false" customHeight="false" outlineLevel="0" collapsed="false">
      <c r="A220" s="158"/>
    </row>
    <row r="221" s="138" customFormat="true" ht="16.5" hidden="false" customHeight="false" outlineLevel="0" collapsed="false">
      <c r="A221" s="158"/>
    </row>
    <row r="222" s="138" customFormat="true" ht="16.5" hidden="false" customHeight="false" outlineLevel="0" collapsed="false">
      <c r="A222" s="158"/>
    </row>
    <row r="223" s="138" customFormat="true" ht="16.5" hidden="false" customHeight="false" outlineLevel="0" collapsed="false">
      <c r="A223" s="158"/>
    </row>
    <row r="224" s="138" customFormat="true" ht="16.5" hidden="false" customHeight="false" outlineLevel="0" collapsed="false">
      <c r="A224" s="158"/>
    </row>
    <row r="225" s="138" customFormat="true" ht="16.5" hidden="false" customHeight="false" outlineLevel="0" collapsed="false">
      <c r="A225" s="158"/>
    </row>
    <row r="226" s="138" customFormat="true" ht="16.5" hidden="false" customHeight="false" outlineLevel="0" collapsed="false">
      <c r="A226" s="158"/>
    </row>
    <row r="227" s="138" customFormat="true" ht="16.5" hidden="false" customHeight="false" outlineLevel="0" collapsed="false">
      <c r="A227" s="158"/>
    </row>
    <row r="228" s="138" customFormat="true" ht="16.5" hidden="false" customHeight="false" outlineLevel="0" collapsed="false">
      <c r="A228" s="158"/>
    </row>
    <row r="229" s="138" customFormat="true" ht="16.5" hidden="false" customHeight="false" outlineLevel="0" collapsed="false">
      <c r="A229" s="158"/>
    </row>
    <row r="230" s="138" customFormat="true" ht="16.5" hidden="false" customHeight="false" outlineLevel="0" collapsed="false">
      <c r="A230" s="158"/>
    </row>
    <row r="231" s="138" customFormat="true" ht="16.5" hidden="false" customHeight="false" outlineLevel="0" collapsed="false">
      <c r="A231" s="158"/>
    </row>
    <row r="232" s="138" customFormat="true" ht="16.5" hidden="false" customHeight="false" outlineLevel="0" collapsed="false">
      <c r="A232" s="158"/>
    </row>
    <row r="233" s="138" customFormat="true" ht="16.5" hidden="false" customHeight="false" outlineLevel="0" collapsed="false">
      <c r="A233" s="158"/>
    </row>
    <row r="234" s="138" customFormat="true" ht="16.5" hidden="false" customHeight="false" outlineLevel="0" collapsed="false">
      <c r="A234" s="158"/>
    </row>
    <row r="235" s="138" customFormat="true" ht="16.5" hidden="false" customHeight="false" outlineLevel="0" collapsed="false">
      <c r="A235" s="158"/>
    </row>
    <row r="236" s="138" customFormat="true" ht="16.5" hidden="false" customHeight="false" outlineLevel="0" collapsed="false">
      <c r="A236" s="158"/>
    </row>
    <row r="237" s="138" customFormat="true" ht="16.5" hidden="false" customHeight="false" outlineLevel="0" collapsed="false">
      <c r="A237" s="158"/>
    </row>
    <row r="238" s="138" customFormat="true" ht="16.5" hidden="false" customHeight="false" outlineLevel="0" collapsed="false">
      <c r="A238" s="158"/>
    </row>
    <row r="239" s="138" customFormat="true" ht="16.5" hidden="false" customHeight="false" outlineLevel="0" collapsed="false">
      <c r="A239" s="158"/>
    </row>
    <row r="240" s="138" customFormat="true" ht="16.5" hidden="false" customHeight="false" outlineLevel="0" collapsed="false">
      <c r="A240" s="158"/>
    </row>
    <row r="241" s="138" customFormat="true" ht="16.5" hidden="false" customHeight="false" outlineLevel="0" collapsed="false">
      <c r="A241" s="158"/>
    </row>
    <row r="242" s="138" customFormat="true" ht="16.5" hidden="false" customHeight="false" outlineLevel="0" collapsed="false">
      <c r="A242" s="158"/>
    </row>
    <row r="243" s="138" customFormat="true" ht="16.5" hidden="false" customHeight="false" outlineLevel="0" collapsed="false">
      <c r="A243" s="158"/>
    </row>
    <row r="244" s="138" customFormat="true" ht="16.5" hidden="false" customHeight="false" outlineLevel="0" collapsed="false">
      <c r="A244" s="158"/>
    </row>
    <row r="245" s="138" customFormat="true" ht="16.5" hidden="false" customHeight="false" outlineLevel="0" collapsed="false">
      <c r="A245" s="158"/>
    </row>
    <row r="246" s="138" customFormat="true" ht="16.5" hidden="false" customHeight="false" outlineLevel="0" collapsed="false">
      <c r="A246" s="158"/>
    </row>
    <row r="247" s="138" customFormat="true" ht="16.5" hidden="false" customHeight="false" outlineLevel="0" collapsed="false">
      <c r="A247" s="158"/>
    </row>
    <row r="248" s="138" customFormat="true" ht="16.5" hidden="false" customHeight="false" outlineLevel="0" collapsed="false">
      <c r="A248" s="158"/>
    </row>
    <row r="249" s="138" customFormat="true" ht="16.5" hidden="false" customHeight="false" outlineLevel="0" collapsed="false">
      <c r="A249" s="158"/>
    </row>
    <row r="250" s="138" customFormat="true" ht="16.5" hidden="false" customHeight="false" outlineLevel="0" collapsed="false">
      <c r="A250" s="158"/>
    </row>
    <row r="251" s="138" customFormat="true" ht="16.5" hidden="false" customHeight="false" outlineLevel="0" collapsed="false">
      <c r="A251" s="158"/>
    </row>
    <row r="252" s="138" customFormat="true" ht="16.5" hidden="false" customHeight="false" outlineLevel="0" collapsed="false">
      <c r="A252" s="158"/>
    </row>
    <row r="253" s="138" customFormat="true" ht="16.5" hidden="false" customHeight="false" outlineLevel="0" collapsed="false">
      <c r="A253" s="158"/>
    </row>
    <row r="254" s="138" customFormat="true" ht="16.5" hidden="false" customHeight="false" outlineLevel="0" collapsed="false">
      <c r="A254" s="158"/>
    </row>
    <row r="255" s="138" customFormat="true" ht="16.5" hidden="false" customHeight="false" outlineLevel="0" collapsed="false">
      <c r="A255" s="158"/>
    </row>
    <row r="256" s="138" customFormat="true" ht="16.5" hidden="false" customHeight="false" outlineLevel="0" collapsed="false">
      <c r="A256" s="158"/>
    </row>
    <row r="257" s="138" customFormat="true" ht="16.5" hidden="false" customHeight="false" outlineLevel="0" collapsed="false">
      <c r="A257" s="158"/>
    </row>
    <row r="258" s="138" customFormat="true" ht="16.5" hidden="false" customHeight="false" outlineLevel="0" collapsed="false">
      <c r="A258" s="158"/>
    </row>
    <row r="259" s="138" customFormat="true" ht="16.5" hidden="false" customHeight="false" outlineLevel="0" collapsed="false">
      <c r="A259" s="158"/>
    </row>
    <row r="260" s="138" customFormat="true" ht="16.5" hidden="false" customHeight="false" outlineLevel="0" collapsed="false">
      <c r="A260" s="158"/>
    </row>
    <row r="261" s="138" customFormat="true" ht="16.5" hidden="false" customHeight="false" outlineLevel="0" collapsed="false">
      <c r="A261" s="158"/>
    </row>
    <row r="262" s="138" customFormat="true" ht="16.5" hidden="false" customHeight="false" outlineLevel="0" collapsed="false">
      <c r="A262" s="158"/>
    </row>
    <row r="263" s="138" customFormat="true" ht="16.5" hidden="false" customHeight="false" outlineLevel="0" collapsed="false">
      <c r="A263" s="158"/>
    </row>
    <row r="264" s="138" customFormat="true" ht="16.5" hidden="false" customHeight="false" outlineLevel="0" collapsed="false">
      <c r="A264" s="158"/>
    </row>
    <row r="265" s="138" customFormat="true" ht="16.5" hidden="false" customHeight="false" outlineLevel="0" collapsed="false">
      <c r="A265" s="158"/>
    </row>
    <row r="266" s="138" customFormat="true" ht="16.5" hidden="false" customHeight="false" outlineLevel="0" collapsed="false">
      <c r="A266" s="158"/>
    </row>
    <row r="267" s="138" customFormat="true" ht="16.5" hidden="false" customHeight="false" outlineLevel="0" collapsed="false">
      <c r="A267" s="158"/>
    </row>
    <row r="268" s="138" customFormat="true" ht="16.5" hidden="false" customHeight="false" outlineLevel="0" collapsed="false">
      <c r="A268" s="158"/>
    </row>
    <row r="269" s="138" customFormat="true" ht="16.5" hidden="false" customHeight="false" outlineLevel="0" collapsed="false">
      <c r="A269" s="158"/>
    </row>
    <row r="270" s="138" customFormat="true" ht="16.5" hidden="false" customHeight="false" outlineLevel="0" collapsed="false">
      <c r="A270" s="158"/>
    </row>
    <row r="271" s="138" customFormat="true" ht="16.5" hidden="false" customHeight="false" outlineLevel="0" collapsed="false">
      <c r="A271" s="158"/>
    </row>
    <row r="272" s="138" customFormat="true" ht="16.5" hidden="false" customHeight="false" outlineLevel="0" collapsed="false">
      <c r="A272" s="158"/>
    </row>
    <row r="273" s="138" customFormat="true" ht="16.5" hidden="false" customHeight="false" outlineLevel="0" collapsed="false">
      <c r="A273" s="158"/>
    </row>
    <row r="274" s="138" customFormat="true" ht="16.5" hidden="false" customHeight="false" outlineLevel="0" collapsed="false">
      <c r="A274" s="158"/>
    </row>
    <row r="275" s="138" customFormat="true" ht="16.5" hidden="false" customHeight="false" outlineLevel="0" collapsed="false">
      <c r="A275" s="158"/>
    </row>
    <row r="276" s="138" customFormat="true" ht="16.5" hidden="false" customHeight="false" outlineLevel="0" collapsed="false">
      <c r="A276" s="158"/>
    </row>
    <row r="277" s="138" customFormat="true" ht="16.5" hidden="false" customHeight="false" outlineLevel="0" collapsed="false">
      <c r="A277" s="158"/>
    </row>
    <row r="278" s="138" customFormat="true" ht="16.5" hidden="false" customHeight="false" outlineLevel="0" collapsed="false">
      <c r="A278" s="158"/>
    </row>
    <row r="279" s="138" customFormat="true" ht="16.5" hidden="false" customHeight="false" outlineLevel="0" collapsed="false">
      <c r="A279" s="158"/>
    </row>
    <row r="280" s="138" customFormat="true" ht="16.5" hidden="false" customHeight="false" outlineLevel="0" collapsed="false">
      <c r="A280" s="158"/>
    </row>
    <row r="281" s="138" customFormat="true" ht="16.5" hidden="false" customHeight="false" outlineLevel="0" collapsed="false">
      <c r="A281" s="158"/>
    </row>
    <row r="282" s="138" customFormat="true" ht="16.5" hidden="false" customHeight="false" outlineLevel="0" collapsed="false">
      <c r="A282" s="158"/>
    </row>
    <row r="283" s="138" customFormat="true" ht="16.5" hidden="false" customHeight="false" outlineLevel="0" collapsed="false">
      <c r="A283" s="158"/>
    </row>
    <row r="284" s="138" customFormat="true" ht="16.5" hidden="false" customHeight="false" outlineLevel="0" collapsed="false">
      <c r="A284" s="158"/>
    </row>
    <row r="285" s="138" customFormat="true" ht="16.5" hidden="false" customHeight="false" outlineLevel="0" collapsed="false">
      <c r="A285" s="158"/>
    </row>
    <row r="286" s="138" customFormat="true" ht="16.5" hidden="false" customHeight="false" outlineLevel="0" collapsed="false">
      <c r="A286" s="158"/>
    </row>
    <row r="287" s="138" customFormat="true" ht="16.5" hidden="false" customHeight="false" outlineLevel="0" collapsed="false">
      <c r="A287" s="158"/>
    </row>
    <row r="288" s="138" customFormat="true" ht="16.5" hidden="false" customHeight="false" outlineLevel="0" collapsed="false">
      <c r="A288" s="158"/>
    </row>
    <row r="289" s="138" customFormat="true" ht="16.5" hidden="false" customHeight="false" outlineLevel="0" collapsed="false">
      <c r="A289" s="158"/>
    </row>
    <row r="290" s="138" customFormat="true" ht="16.5" hidden="false" customHeight="false" outlineLevel="0" collapsed="false">
      <c r="A290" s="158"/>
    </row>
    <row r="291" s="138" customFormat="true" ht="16.5" hidden="false" customHeight="false" outlineLevel="0" collapsed="false">
      <c r="A291" s="158"/>
    </row>
    <row r="292" s="138" customFormat="true" ht="16.5" hidden="false" customHeight="false" outlineLevel="0" collapsed="false">
      <c r="A292" s="158"/>
    </row>
    <row r="293" s="138" customFormat="true" ht="16.5" hidden="false" customHeight="false" outlineLevel="0" collapsed="false">
      <c r="A293" s="158"/>
    </row>
    <row r="294" s="138" customFormat="true" ht="16.5" hidden="false" customHeight="false" outlineLevel="0" collapsed="false">
      <c r="A294" s="158"/>
    </row>
    <row r="295" s="138" customFormat="true" ht="16.5" hidden="false" customHeight="false" outlineLevel="0" collapsed="false">
      <c r="A295" s="158"/>
    </row>
    <row r="296" s="138" customFormat="true" ht="16.5" hidden="false" customHeight="false" outlineLevel="0" collapsed="false">
      <c r="A296" s="158"/>
    </row>
    <row r="297" s="138" customFormat="true" ht="16.5" hidden="false" customHeight="false" outlineLevel="0" collapsed="false">
      <c r="A297" s="158"/>
    </row>
    <row r="298" s="138" customFormat="true" ht="16.5" hidden="false" customHeight="false" outlineLevel="0" collapsed="false">
      <c r="A298" s="158"/>
    </row>
    <row r="299" s="138" customFormat="true" ht="16.5" hidden="false" customHeight="false" outlineLevel="0" collapsed="false">
      <c r="A299" s="158"/>
    </row>
    <row r="300" s="138" customFormat="true" ht="16.5" hidden="false" customHeight="false" outlineLevel="0" collapsed="false">
      <c r="A300" s="158"/>
    </row>
    <row r="301" s="138" customFormat="true" ht="16.5" hidden="false" customHeight="false" outlineLevel="0" collapsed="false">
      <c r="A301" s="158"/>
    </row>
    <row r="302" s="138" customFormat="true" ht="16.5" hidden="false" customHeight="false" outlineLevel="0" collapsed="false">
      <c r="A302" s="158"/>
    </row>
    <row r="303" s="138" customFormat="true" ht="16.5" hidden="false" customHeight="false" outlineLevel="0" collapsed="false">
      <c r="A303" s="158"/>
    </row>
    <row r="304" s="138" customFormat="true" ht="16.5" hidden="false" customHeight="false" outlineLevel="0" collapsed="false">
      <c r="A304" s="158"/>
    </row>
    <row r="305" s="138" customFormat="true" ht="16.5" hidden="false" customHeight="false" outlineLevel="0" collapsed="false">
      <c r="A305" s="158"/>
    </row>
    <row r="306" s="138" customFormat="true" ht="16.5" hidden="false" customHeight="false" outlineLevel="0" collapsed="false">
      <c r="A306" s="158"/>
    </row>
    <row r="307" s="138" customFormat="true" ht="16.5" hidden="false" customHeight="false" outlineLevel="0" collapsed="false">
      <c r="A307" s="158"/>
    </row>
    <row r="308" s="138" customFormat="true" ht="16.5" hidden="false" customHeight="false" outlineLevel="0" collapsed="false">
      <c r="A308" s="158"/>
    </row>
    <row r="309" s="138" customFormat="true" ht="16.5" hidden="false" customHeight="false" outlineLevel="0" collapsed="false">
      <c r="A309" s="158"/>
    </row>
    <row r="310" s="138" customFormat="true" ht="16.5" hidden="false" customHeight="false" outlineLevel="0" collapsed="false">
      <c r="A310" s="158"/>
    </row>
    <row r="311" s="138" customFormat="true" ht="16.5" hidden="false" customHeight="false" outlineLevel="0" collapsed="false">
      <c r="A311" s="158"/>
    </row>
    <row r="312" s="138" customFormat="true" ht="16.5" hidden="false" customHeight="false" outlineLevel="0" collapsed="false">
      <c r="A312" s="158"/>
    </row>
    <row r="313" s="138" customFormat="true" ht="16.5" hidden="false" customHeight="false" outlineLevel="0" collapsed="false">
      <c r="A313" s="158"/>
    </row>
    <row r="314" s="138" customFormat="true" ht="16.5" hidden="false" customHeight="false" outlineLevel="0" collapsed="false">
      <c r="A314" s="158"/>
    </row>
    <row r="315" s="138" customFormat="true" ht="16.5" hidden="false" customHeight="false" outlineLevel="0" collapsed="false">
      <c r="A315" s="158"/>
    </row>
    <row r="316" s="138" customFormat="true" ht="16.5" hidden="false" customHeight="false" outlineLevel="0" collapsed="false">
      <c r="A316" s="158"/>
    </row>
    <row r="317" s="138" customFormat="true" ht="16.5" hidden="false" customHeight="false" outlineLevel="0" collapsed="false">
      <c r="A317" s="158"/>
    </row>
    <row r="318" s="138" customFormat="true" ht="16.5" hidden="false" customHeight="false" outlineLevel="0" collapsed="false">
      <c r="A318" s="158"/>
    </row>
    <row r="319" s="138" customFormat="true" ht="16.5" hidden="false" customHeight="false" outlineLevel="0" collapsed="false">
      <c r="A319" s="158"/>
    </row>
    <row r="320" s="138" customFormat="true" ht="16.5" hidden="false" customHeight="false" outlineLevel="0" collapsed="false">
      <c r="A320" s="158"/>
    </row>
    <row r="321" s="138" customFormat="true" ht="16.5" hidden="false" customHeight="false" outlineLevel="0" collapsed="false">
      <c r="A321" s="158"/>
    </row>
    <row r="322" s="138" customFormat="true" ht="16.5" hidden="false" customHeight="false" outlineLevel="0" collapsed="false">
      <c r="A322" s="158"/>
    </row>
    <row r="323" s="138" customFormat="true" ht="16.5" hidden="false" customHeight="false" outlineLevel="0" collapsed="false">
      <c r="A323" s="158"/>
    </row>
    <row r="324" s="138" customFormat="true" ht="16.5" hidden="false" customHeight="false" outlineLevel="0" collapsed="false">
      <c r="A324" s="158"/>
    </row>
    <row r="325" s="138" customFormat="true" ht="16.5" hidden="false" customHeight="false" outlineLevel="0" collapsed="false">
      <c r="A325" s="158"/>
    </row>
    <row r="326" s="138" customFormat="true" ht="16.5" hidden="false" customHeight="false" outlineLevel="0" collapsed="false">
      <c r="A326" s="158"/>
    </row>
    <row r="327" s="138" customFormat="true" ht="16.5" hidden="false" customHeight="false" outlineLevel="0" collapsed="false">
      <c r="A327" s="158"/>
    </row>
    <row r="328" s="138" customFormat="true" ht="16.5" hidden="false" customHeight="false" outlineLevel="0" collapsed="false">
      <c r="A328" s="158"/>
    </row>
    <row r="329" s="138" customFormat="true" ht="16.5" hidden="false" customHeight="false" outlineLevel="0" collapsed="false">
      <c r="A329" s="158"/>
    </row>
    <row r="330" s="138" customFormat="true" ht="16.5" hidden="false" customHeight="false" outlineLevel="0" collapsed="false">
      <c r="A330" s="158"/>
    </row>
    <row r="331" s="138" customFormat="true" ht="16.5" hidden="false" customHeight="false" outlineLevel="0" collapsed="false">
      <c r="A331" s="158"/>
    </row>
    <row r="332" s="138" customFormat="true" ht="16.5" hidden="false" customHeight="false" outlineLevel="0" collapsed="false">
      <c r="A332" s="158"/>
    </row>
    <row r="333" s="138" customFormat="true" ht="16.5" hidden="false" customHeight="false" outlineLevel="0" collapsed="false">
      <c r="A333" s="158"/>
    </row>
    <row r="334" s="138" customFormat="true" ht="16.5" hidden="false" customHeight="false" outlineLevel="0" collapsed="false">
      <c r="A334" s="158"/>
    </row>
    <row r="335" s="138" customFormat="true" ht="16.5" hidden="false" customHeight="false" outlineLevel="0" collapsed="false">
      <c r="A335" s="158"/>
    </row>
    <row r="336" s="138" customFormat="true" ht="16.5" hidden="false" customHeight="false" outlineLevel="0" collapsed="false">
      <c r="A336" s="158"/>
    </row>
    <row r="337" s="138" customFormat="true" ht="16.5" hidden="false" customHeight="false" outlineLevel="0" collapsed="false">
      <c r="A337" s="158"/>
    </row>
    <row r="338" s="138" customFormat="true" ht="16.5" hidden="false" customHeight="false" outlineLevel="0" collapsed="false">
      <c r="A338" s="158"/>
    </row>
    <row r="339" s="138" customFormat="true" ht="16.5" hidden="false" customHeight="false" outlineLevel="0" collapsed="false">
      <c r="A339" s="158"/>
    </row>
    <row r="340" s="138" customFormat="true" ht="16.5" hidden="false" customHeight="false" outlineLevel="0" collapsed="false">
      <c r="A340" s="158"/>
    </row>
    <row r="341" s="138" customFormat="true" ht="16.5" hidden="false" customHeight="false" outlineLevel="0" collapsed="false">
      <c r="A341" s="158"/>
    </row>
    <row r="342" s="138" customFormat="true" ht="16.5" hidden="false" customHeight="false" outlineLevel="0" collapsed="false">
      <c r="A342" s="158"/>
    </row>
    <row r="343" s="138" customFormat="true" ht="16.5" hidden="false" customHeight="false" outlineLevel="0" collapsed="false">
      <c r="A343" s="158"/>
    </row>
    <row r="344" s="138" customFormat="true" ht="16.5" hidden="false" customHeight="false" outlineLevel="0" collapsed="false">
      <c r="A344" s="158"/>
    </row>
    <row r="345" s="138" customFormat="true" ht="16.5" hidden="false" customHeight="false" outlineLevel="0" collapsed="false">
      <c r="A345" s="158"/>
    </row>
    <row r="346" s="138" customFormat="true" ht="16.5" hidden="false" customHeight="false" outlineLevel="0" collapsed="false">
      <c r="A346" s="158"/>
    </row>
    <row r="347" s="138" customFormat="true" ht="16.5" hidden="false" customHeight="false" outlineLevel="0" collapsed="false">
      <c r="A347" s="158"/>
    </row>
    <row r="348" s="138" customFormat="true" ht="16.5" hidden="false" customHeight="false" outlineLevel="0" collapsed="false">
      <c r="A348" s="158"/>
    </row>
    <row r="349" s="138" customFormat="true" ht="16.5" hidden="false" customHeight="false" outlineLevel="0" collapsed="false">
      <c r="A349" s="158"/>
    </row>
    <row r="350" s="138" customFormat="true" ht="16.5" hidden="false" customHeight="false" outlineLevel="0" collapsed="false">
      <c r="A350" s="158"/>
    </row>
    <row r="351" s="138" customFormat="true" ht="16.5" hidden="false" customHeight="false" outlineLevel="0" collapsed="false">
      <c r="A351" s="158"/>
    </row>
    <row r="352" s="138" customFormat="true" ht="16.5" hidden="false" customHeight="false" outlineLevel="0" collapsed="false">
      <c r="A352" s="158"/>
    </row>
    <row r="353" s="138" customFormat="true" ht="16.5" hidden="false" customHeight="false" outlineLevel="0" collapsed="false">
      <c r="A353" s="158"/>
    </row>
    <row r="354" s="138" customFormat="true" ht="16.5" hidden="false" customHeight="false" outlineLevel="0" collapsed="false">
      <c r="A354" s="158"/>
    </row>
    <row r="355" s="138" customFormat="true" ht="16.5" hidden="false" customHeight="false" outlineLevel="0" collapsed="false">
      <c r="A355" s="158"/>
    </row>
    <row r="356" s="138" customFormat="true" ht="16.5" hidden="false" customHeight="false" outlineLevel="0" collapsed="false">
      <c r="A356" s="158"/>
    </row>
    <row r="357" s="138" customFormat="true" ht="16.5" hidden="false" customHeight="false" outlineLevel="0" collapsed="false">
      <c r="A357" s="158"/>
    </row>
    <row r="358" s="138" customFormat="true" ht="16.5" hidden="false" customHeight="false" outlineLevel="0" collapsed="false">
      <c r="A358" s="158"/>
    </row>
    <row r="359" s="138" customFormat="true" ht="16.5" hidden="false" customHeight="false" outlineLevel="0" collapsed="false">
      <c r="A359" s="158"/>
    </row>
    <row r="360" s="138" customFormat="true" ht="16.5" hidden="false" customHeight="false" outlineLevel="0" collapsed="false">
      <c r="A360" s="158"/>
    </row>
    <row r="361" s="138" customFormat="true" ht="16.5" hidden="false" customHeight="false" outlineLevel="0" collapsed="false">
      <c r="A361" s="158"/>
    </row>
    <row r="362" s="138" customFormat="true" ht="16.5" hidden="false" customHeight="false" outlineLevel="0" collapsed="false">
      <c r="A362" s="158"/>
    </row>
    <row r="363" s="138" customFormat="true" ht="16.5" hidden="false" customHeight="false" outlineLevel="0" collapsed="false">
      <c r="A363" s="158"/>
    </row>
    <row r="364" s="138" customFormat="true" ht="16.5" hidden="false" customHeight="false" outlineLevel="0" collapsed="false">
      <c r="A364" s="158"/>
    </row>
    <row r="365" s="138" customFormat="true" ht="16.5" hidden="false" customHeight="false" outlineLevel="0" collapsed="false">
      <c r="A365" s="158"/>
    </row>
    <row r="366" s="138" customFormat="true" ht="16.5" hidden="false" customHeight="false" outlineLevel="0" collapsed="false">
      <c r="A366" s="158"/>
    </row>
    <row r="367" s="138" customFormat="true" ht="16.5" hidden="false" customHeight="false" outlineLevel="0" collapsed="false">
      <c r="A367" s="158"/>
    </row>
    <row r="368" s="138" customFormat="true" ht="16.5" hidden="false" customHeight="false" outlineLevel="0" collapsed="false">
      <c r="A368" s="158"/>
    </row>
    <row r="369" s="138" customFormat="true" ht="16.5" hidden="false" customHeight="false" outlineLevel="0" collapsed="false">
      <c r="A369" s="158"/>
    </row>
    <row r="370" s="138" customFormat="true" ht="16.5" hidden="false" customHeight="false" outlineLevel="0" collapsed="false">
      <c r="A370" s="158"/>
    </row>
    <row r="371" s="138" customFormat="true" ht="16.5" hidden="false" customHeight="false" outlineLevel="0" collapsed="false">
      <c r="A371" s="158"/>
    </row>
    <row r="372" s="138" customFormat="true" ht="16.5" hidden="false" customHeight="false" outlineLevel="0" collapsed="false">
      <c r="A372" s="158"/>
    </row>
    <row r="373" s="138" customFormat="true" ht="16.5" hidden="false" customHeight="false" outlineLevel="0" collapsed="false">
      <c r="A373" s="158"/>
    </row>
    <row r="374" s="138" customFormat="true" ht="16.5" hidden="false" customHeight="false" outlineLevel="0" collapsed="false">
      <c r="A374" s="158"/>
    </row>
    <row r="375" s="138" customFormat="true" ht="16.5" hidden="false" customHeight="false" outlineLevel="0" collapsed="false">
      <c r="A375" s="158"/>
    </row>
    <row r="376" s="138" customFormat="true" ht="16.5" hidden="false" customHeight="false" outlineLevel="0" collapsed="false">
      <c r="A376" s="158"/>
    </row>
    <row r="377" s="138" customFormat="true" ht="16.5" hidden="false" customHeight="false" outlineLevel="0" collapsed="false">
      <c r="A377" s="158"/>
    </row>
    <row r="378" s="138" customFormat="true" ht="16.5" hidden="false" customHeight="false" outlineLevel="0" collapsed="false">
      <c r="A378" s="158"/>
    </row>
    <row r="379" s="138" customFormat="true" ht="16.5" hidden="false" customHeight="false" outlineLevel="0" collapsed="false">
      <c r="A379" s="158"/>
    </row>
    <row r="380" s="138" customFormat="true" ht="16.5" hidden="false" customHeight="false" outlineLevel="0" collapsed="false">
      <c r="A380" s="158"/>
    </row>
    <row r="381" s="138" customFormat="true" ht="16.5" hidden="false" customHeight="false" outlineLevel="0" collapsed="false">
      <c r="A381" s="158"/>
    </row>
    <row r="382" s="138" customFormat="true" ht="16.5" hidden="false" customHeight="false" outlineLevel="0" collapsed="false">
      <c r="A382" s="158"/>
    </row>
    <row r="383" s="138" customFormat="true" ht="16.5" hidden="false" customHeight="false" outlineLevel="0" collapsed="false">
      <c r="A383" s="158"/>
    </row>
    <row r="384" s="138" customFormat="true" ht="16.5" hidden="false" customHeight="false" outlineLevel="0" collapsed="false">
      <c r="A384" s="158"/>
    </row>
    <row r="385" s="138" customFormat="true" ht="16.5" hidden="false" customHeight="false" outlineLevel="0" collapsed="false">
      <c r="A385" s="158"/>
    </row>
    <row r="386" s="138" customFormat="true" ht="16.5" hidden="false" customHeight="false" outlineLevel="0" collapsed="false">
      <c r="A386" s="158"/>
    </row>
    <row r="387" s="138" customFormat="true" ht="16.5" hidden="false" customHeight="false" outlineLevel="0" collapsed="false">
      <c r="A387" s="158"/>
    </row>
    <row r="388" s="138" customFormat="true" ht="16.5" hidden="false" customHeight="false" outlineLevel="0" collapsed="false">
      <c r="A388" s="158"/>
    </row>
    <row r="389" s="138" customFormat="true" ht="16.5" hidden="false" customHeight="false" outlineLevel="0" collapsed="false">
      <c r="A389" s="158"/>
    </row>
    <row r="390" s="138" customFormat="true" ht="16.5" hidden="false" customHeight="false" outlineLevel="0" collapsed="false">
      <c r="A390" s="158"/>
    </row>
    <row r="391" s="138" customFormat="true" ht="16.5" hidden="false" customHeight="false" outlineLevel="0" collapsed="false">
      <c r="A391" s="158"/>
    </row>
    <row r="392" s="138" customFormat="true" ht="16.5" hidden="false" customHeight="false" outlineLevel="0" collapsed="false">
      <c r="A392" s="158"/>
    </row>
    <row r="393" s="138" customFormat="true" ht="16.5" hidden="false" customHeight="false" outlineLevel="0" collapsed="false">
      <c r="A393" s="158"/>
    </row>
    <row r="394" s="138" customFormat="true" ht="16.5" hidden="false" customHeight="false" outlineLevel="0" collapsed="false">
      <c r="A394" s="158"/>
    </row>
    <row r="395" s="138" customFormat="true" ht="16.5" hidden="false" customHeight="false" outlineLevel="0" collapsed="false">
      <c r="A395" s="158"/>
    </row>
    <row r="396" s="138" customFormat="true" ht="16.5" hidden="false" customHeight="false" outlineLevel="0" collapsed="false">
      <c r="A396" s="158"/>
    </row>
    <row r="397" s="138" customFormat="true" ht="16.5" hidden="false" customHeight="false" outlineLevel="0" collapsed="false">
      <c r="A397" s="158"/>
    </row>
    <row r="398" s="138" customFormat="true" ht="16.5" hidden="false" customHeight="false" outlineLevel="0" collapsed="false">
      <c r="A398" s="158"/>
    </row>
    <row r="399" s="138" customFormat="true" ht="16.5" hidden="false" customHeight="false" outlineLevel="0" collapsed="false">
      <c r="A399" s="158"/>
    </row>
    <row r="400" s="138" customFormat="true" ht="16.5" hidden="false" customHeight="false" outlineLevel="0" collapsed="false">
      <c r="A400" s="158"/>
    </row>
    <row r="401" s="138" customFormat="true" ht="16.5" hidden="false" customHeight="false" outlineLevel="0" collapsed="false">
      <c r="A401" s="158"/>
    </row>
    <row r="402" s="138" customFormat="true" ht="16.5" hidden="false" customHeight="false" outlineLevel="0" collapsed="false">
      <c r="A402" s="158"/>
    </row>
    <row r="403" s="138" customFormat="true" ht="16.5" hidden="false" customHeight="false" outlineLevel="0" collapsed="false">
      <c r="A403" s="158"/>
    </row>
    <row r="404" s="138" customFormat="true" ht="16.5" hidden="false" customHeight="false" outlineLevel="0" collapsed="false">
      <c r="A404" s="158"/>
    </row>
    <row r="405" s="138" customFormat="true" ht="16.5" hidden="false" customHeight="false" outlineLevel="0" collapsed="false">
      <c r="A405" s="158"/>
    </row>
    <row r="406" s="138" customFormat="true" ht="16.5" hidden="false" customHeight="false" outlineLevel="0" collapsed="false">
      <c r="A406" s="158"/>
    </row>
    <row r="407" s="138" customFormat="true" ht="16.5" hidden="false" customHeight="false" outlineLevel="0" collapsed="false">
      <c r="A407" s="158"/>
    </row>
    <row r="408" s="138" customFormat="true" ht="16.5" hidden="false" customHeight="false" outlineLevel="0" collapsed="false">
      <c r="A408" s="158"/>
    </row>
    <row r="409" s="138" customFormat="true" ht="16.5" hidden="false" customHeight="false" outlineLevel="0" collapsed="false">
      <c r="A409" s="158"/>
    </row>
    <row r="410" s="138" customFormat="true" ht="16.5" hidden="false" customHeight="false" outlineLevel="0" collapsed="false">
      <c r="A410" s="158"/>
    </row>
    <row r="411" s="138" customFormat="true" ht="16.5" hidden="false" customHeight="false" outlineLevel="0" collapsed="false">
      <c r="A411" s="158"/>
    </row>
    <row r="412" s="138" customFormat="true" ht="16.5" hidden="false" customHeight="false" outlineLevel="0" collapsed="false">
      <c r="A412" s="158"/>
    </row>
    <row r="413" s="138" customFormat="true" ht="16.5" hidden="false" customHeight="false" outlineLevel="0" collapsed="false">
      <c r="A413" s="158"/>
    </row>
    <row r="414" s="138" customFormat="true" ht="16.5" hidden="false" customHeight="false" outlineLevel="0" collapsed="false">
      <c r="A414" s="158"/>
    </row>
    <row r="415" s="138" customFormat="true" ht="16.5" hidden="false" customHeight="false" outlineLevel="0" collapsed="false">
      <c r="A415" s="158"/>
    </row>
    <row r="416" s="138" customFormat="true" ht="16.5" hidden="false" customHeight="false" outlineLevel="0" collapsed="false">
      <c r="A416" s="158"/>
    </row>
    <row r="417" s="138" customFormat="true" ht="16.5" hidden="false" customHeight="false" outlineLevel="0" collapsed="false">
      <c r="A417" s="158"/>
    </row>
    <row r="418" s="138" customFormat="true" ht="16.5" hidden="false" customHeight="false" outlineLevel="0" collapsed="false">
      <c r="A418" s="158"/>
    </row>
    <row r="419" s="138" customFormat="true" ht="16.5" hidden="false" customHeight="false" outlineLevel="0" collapsed="false">
      <c r="A419" s="158"/>
    </row>
    <row r="420" s="138" customFormat="true" ht="16.5" hidden="false" customHeight="false" outlineLevel="0" collapsed="false">
      <c r="A420" s="158"/>
    </row>
    <row r="421" s="138" customFormat="true" ht="16.5" hidden="false" customHeight="false" outlineLevel="0" collapsed="false">
      <c r="A421" s="158"/>
    </row>
    <row r="422" s="138" customFormat="true" ht="16.5" hidden="false" customHeight="false" outlineLevel="0" collapsed="false">
      <c r="A422" s="158"/>
    </row>
    <row r="423" s="138" customFormat="true" ht="16.5" hidden="false" customHeight="false" outlineLevel="0" collapsed="false">
      <c r="A423" s="158"/>
    </row>
    <row r="424" s="138" customFormat="true" ht="16.5" hidden="false" customHeight="false" outlineLevel="0" collapsed="false">
      <c r="A424" s="158"/>
    </row>
    <row r="425" s="138" customFormat="true" ht="16.5" hidden="false" customHeight="false" outlineLevel="0" collapsed="false">
      <c r="A425" s="158"/>
    </row>
    <row r="426" s="138" customFormat="true" ht="16.5" hidden="false" customHeight="false" outlineLevel="0" collapsed="false">
      <c r="A426" s="158"/>
    </row>
    <row r="427" s="138" customFormat="true" ht="16.5" hidden="false" customHeight="false" outlineLevel="0" collapsed="false">
      <c r="A427" s="158"/>
    </row>
    <row r="428" s="138" customFormat="true" ht="16.5" hidden="false" customHeight="false" outlineLevel="0" collapsed="false">
      <c r="A428" s="158"/>
    </row>
    <row r="429" s="138" customFormat="true" ht="16.5" hidden="false" customHeight="false" outlineLevel="0" collapsed="false">
      <c r="A429" s="158"/>
    </row>
  </sheetData>
  <mergeCells count="115">
    <mergeCell ref="Z1:AH1"/>
    <mergeCell ref="A3:AH3"/>
    <mergeCell ref="A5:A8"/>
    <mergeCell ref="B5:B8"/>
    <mergeCell ref="C5:C8"/>
    <mergeCell ref="D5:D8"/>
    <mergeCell ref="E5:G6"/>
    <mergeCell ref="H5:K5"/>
    <mergeCell ref="L5:O5"/>
    <mergeCell ref="P5:S5"/>
    <mergeCell ref="T5:AJ5"/>
    <mergeCell ref="H6:H8"/>
    <mergeCell ref="I6:K6"/>
    <mergeCell ref="L6:L8"/>
    <mergeCell ref="M6:O6"/>
    <mergeCell ref="P6:P8"/>
    <mergeCell ref="Q6:S6"/>
    <mergeCell ref="T6:Y6"/>
    <mergeCell ref="Z6:AE6"/>
    <mergeCell ref="AF6:AJ6"/>
    <mergeCell ref="E7:F7"/>
    <mergeCell ref="G7:G8"/>
    <mergeCell ref="I7:I8"/>
    <mergeCell ref="J7:K7"/>
    <mergeCell ref="M7:M8"/>
    <mergeCell ref="N7:O7"/>
    <mergeCell ref="Q7:Q8"/>
    <mergeCell ref="R7:S7"/>
    <mergeCell ref="T7:U7"/>
    <mergeCell ref="V7:V8"/>
    <mergeCell ref="W7:Y7"/>
    <mergeCell ref="Z7:AA7"/>
    <mergeCell ref="AB7:AB8"/>
    <mergeCell ref="AC7:AE7"/>
    <mergeCell ref="AF7:AG7"/>
    <mergeCell ref="AH7:AH8"/>
    <mergeCell ref="AI7:AJ7"/>
    <mergeCell ref="A10:AH10"/>
    <mergeCell ref="B11:AH11"/>
    <mergeCell ref="A13:B13"/>
    <mergeCell ref="A15:B15"/>
    <mergeCell ref="A17:B17"/>
    <mergeCell ref="A24:B24"/>
    <mergeCell ref="A26:C26"/>
    <mergeCell ref="A27:B27"/>
    <mergeCell ref="C27:E27"/>
    <mergeCell ref="A37:B37"/>
    <mergeCell ref="A38:B38"/>
    <mergeCell ref="C38:E38"/>
    <mergeCell ref="A44:B44"/>
    <mergeCell ref="A45:B45"/>
    <mergeCell ref="C45:E45"/>
    <mergeCell ref="A52:C52"/>
    <mergeCell ref="A53:B53"/>
    <mergeCell ref="C53:E53"/>
    <mergeCell ref="A56:B56"/>
    <mergeCell ref="A57:B57"/>
    <mergeCell ref="C57:E57"/>
    <mergeCell ref="A66:B66"/>
    <mergeCell ref="A67:B67"/>
    <mergeCell ref="C67:E67"/>
    <mergeCell ref="A70:C70"/>
    <mergeCell ref="A71:B71"/>
    <mergeCell ref="C71:E71"/>
    <mergeCell ref="A75:B75"/>
    <mergeCell ref="A76:B76"/>
    <mergeCell ref="C76:E76"/>
    <mergeCell ref="A80:B80"/>
    <mergeCell ref="A81:B81"/>
    <mergeCell ref="C81:E81"/>
    <mergeCell ref="A87:B87"/>
    <mergeCell ref="A88:B88"/>
    <mergeCell ref="C88:E88"/>
    <mergeCell ref="A93:B93"/>
    <mergeCell ref="A94:B94"/>
    <mergeCell ref="C94:E94"/>
    <mergeCell ref="A97:B97"/>
    <mergeCell ref="A100:B100"/>
    <mergeCell ref="A101:B101"/>
    <mergeCell ref="A106:C106"/>
    <mergeCell ref="A107:B107"/>
    <mergeCell ref="A110:B110"/>
    <mergeCell ref="A111:B111"/>
    <mergeCell ref="C111:E111"/>
    <mergeCell ref="A115:B115"/>
    <mergeCell ref="A116:B116"/>
    <mergeCell ref="A120:B120"/>
    <mergeCell ref="A121:B121"/>
    <mergeCell ref="C121:E121"/>
    <mergeCell ref="A127:C127"/>
    <mergeCell ref="A128:B128"/>
    <mergeCell ref="A132:B132"/>
    <mergeCell ref="A133:B133"/>
    <mergeCell ref="C133:E133"/>
    <mergeCell ref="A137:C137"/>
    <mergeCell ref="A138:B138"/>
    <mergeCell ref="C138:E138"/>
    <mergeCell ref="A142:C142"/>
    <mergeCell ref="A145:C145"/>
    <mergeCell ref="B147:AH147"/>
    <mergeCell ref="A157:B157"/>
    <mergeCell ref="A160:B160"/>
    <mergeCell ref="A163:B163"/>
    <mergeCell ref="A166:B166"/>
    <mergeCell ref="A170:B170"/>
    <mergeCell ref="A172:B172"/>
    <mergeCell ref="A175:B175"/>
    <mergeCell ref="A177:B177"/>
    <mergeCell ref="A179:B179"/>
    <mergeCell ref="A182:B182"/>
    <mergeCell ref="A184:B184"/>
    <mergeCell ref="A186:B186"/>
    <mergeCell ref="A194:B194"/>
    <mergeCell ref="A196:B196"/>
    <mergeCell ref="A198:C198"/>
  </mergeCells>
  <printOptions headings="false" gridLines="false" gridLinesSet="true" horizontalCentered="false" verticalCentered="false"/>
  <pageMargins left="0.590277777777778" right="0.39375" top="0.984027777777778" bottom="0.590277777777778" header="0.39375" footer="0.511811023622047"/>
  <pageSetup paperSize="9" scale="100" fitToWidth="1" fitToHeight="5" pageOrder="downThenOver" orientation="landscape" blackAndWhite="false" draft="false" cellComments="none" firstPageNumber="53" useFirstPageNumber="true" horizontalDpi="300" verticalDpi="300" copies="1"/>
  <headerFooter differentFirst="false" differentOddEven="false">
    <oddHeader>&amp;C&amp;14&amp;P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313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2023-06-29T08:05:20Z</dcterms:created>
  <dc:creator>Шеховцова</dc:creator>
  <dc:description/>
  <dc:language>ru-RU</dc:language>
  <cp:lastModifiedBy/>
  <cp:lastPrinted>2024-12-23T13:19:02Z</cp:lastPrinted>
  <dcterms:modified xsi:type="dcterms:W3CDTF">2024-12-23T13:20:36Z</dcterms:modified>
  <cp:revision>29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