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styles.xml" ContentType="application/vnd.openxmlformats-officedocument.spreadsheetml.styl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2. Показатели КПМ" sheetId="1" state="visible" r:id="rId3"/>
    <sheet name="3.Показатели КПМ по месяцам " sheetId="2" state="visible" r:id="rId4"/>
    <sheet name="4. Показатели КПМ по МО " sheetId="3" state="visible" r:id="rId5"/>
    <sheet name="5. Мероприятия КПМ " sheetId="4" state="visible" r:id="rId6"/>
    <sheet name="6. Финансовое обеспечение ." sheetId="5" state="visible" r:id="rId7"/>
  </sheets>
  <definedNames>
    <definedName function="false" hidden="false" localSheetId="0" name="_xlnm.Print_Area" vbProcedure="false">'2. Показатели КПМ'!$A$2:$Q$19</definedName>
    <definedName function="false" hidden="false" localSheetId="1" name="_xlnm.Print_Area" vbProcedure="false">'3.Показатели КПМ по месяцам '!$A$2:$P$18</definedName>
    <definedName function="false" hidden="false" localSheetId="2" name="_xlnm.Print_Area" vbProcedure="false">'4. Показатели КПМ по МО '!$A$2:$K$33</definedName>
    <definedName function="false" hidden="false" localSheetId="2" name="_xlnm.Print_Titles" vbProcedure="false">'4. Показатели КПМ по МО '!$4:$6</definedName>
    <definedName function="false" hidden="false" localSheetId="3" name="_xlnm.Print_Area" vbProcedure="false">'5. Мероприятия КПМ '!$A$2:$N$25</definedName>
    <definedName function="false" hidden="false" localSheetId="3" name="_xlnm.Print_Titles" vbProcedure="false">'5. Мероприятия КПМ '!$4:$6</definedName>
    <definedName function="false" hidden="false" localSheetId="4" name="_xlnm.Print_Area" vbProcedure="false">'6. Финансовое обеспечение .'!$A$2:$O$154</definedName>
    <definedName function="false" hidden="false" localSheetId="4" name="_xlnm.Print_Titles" vbProcedure="false">'6. Финансовое обеспечение .'!$42:$44</definedName>
    <definedName function="false" hidden="false" localSheetId="0" name="_ftn2" vbProcedure="false">'2. показатели кпм'!#ref!</definedName>
    <definedName function="false" hidden="false" localSheetId="0" name="_ftn3" vbProcedure="false">'2. показатели кпм'!#ref!</definedName>
    <definedName function="false" hidden="false" localSheetId="0" name="_ftn4" vbProcedure="false">'2. показатели кпм'!#ref!</definedName>
    <definedName function="false" hidden="false" localSheetId="0" name="_ftn5" vbProcedure="false">'2. показатели кпм'!#ref!</definedName>
    <definedName function="false" hidden="false" localSheetId="0" name="_ftnref2" vbProcedure="false">'2. показатели кпм'!#ref!</definedName>
    <definedName function="false" hidden="false" localSheetId="0" name="_ftnref3" vbProcedure="false">'2. показатели кпм'!#ref!</definedName>
    <definedName function="false" hidden="false" localSheetId="0" name="_ftnref4" vbProcedure="false">'2. показатели кпм'!#ref!</definedName>
    <definedName function="false" hidden="false" localSheetId="0" name="_ftnref5" vbProcedure="false">'2. показатели кпм'!#ref!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<sst xmlns="http://schemas.openxmlformats.org/spreadsheetml/2006/main" count="680" uniqueCount="228">
  <si>
    <t xml:space="preserve">VIII. Паспорт комплекса процессных мероприятий «Обеспечение сохранности существующей сети автомобильных дорог и безопасности дорожного движения» </t>
  </si>
  <si>
    <t xml:space="preserve">VIII. Паспорт комплекса процессных мероприятий «Обеспечение сохранности существующей сети автомобильных дорог и безопасности дорожного движения» (далее – комплекс процессных мероприятий 1)</t>
  </si>
  <si>
    <t xml:space="preserve">(далее – комплекс процессных мероприятий 1)</t>
  </si>
  <si>
    <t xml:space="preserve">2. Показатели комплекса процессных мероприятий 1</t>
  </si>
  <si>
    <t xml:space="preserve">№ п/п</t>
  </si>
  <si>
    <t xml:space="preserve">Наименование показателя / задачи</t>
  </si>
  <si>
    <t xml:space="preserve">Признак возрастания / убывания</t>
  </si>
  <si>
    <t xml:space="preserve">Уровень показателя</t>
  </si>
  <si>
    <t xml:space="preserve">Единица измерения (по ОКЕИ)</t>
  </si>
  <si>
    <t xml:space="preserve">Базовое значение</t>
  </si>
  <si>
    <t xml:space="preserve">Значение показателей по годам</t>
  </si>
  <si>
    <t xml:space="preserve">             Ответственный              за достижение показателя</t>
  </si>
  <si>
    <t xml:space="preserve">Признак "Участие муниципальных образований"</t>
  </si>
  <si>
    <t xml:space="preserve">Информационная система </t>
  </si>
  <si>
    <t xml:space="preserve">значение</t>
  </si>
  <si>
    <t xml:space="preserve"> год</t>
  </si>
  <si>
    <t xml:space="preserve">   </t>
  </si>
  <si>
    <t xml:space="preserve">1.</t>
  </si>
  <si>
    <t xml:space="preserve"> Обеспечение сохранности существующей сети автомобильных дорог  и безопасности дорожного движения     </t>
  </si>
  <si>
    <t xml:space="preserve">1.1.</t>
  </si>
  <si>
    <t xml:space="preserve">Прирост протяженности автомобильных дорог общего пользования регионального (межмуниципального) и местного значения, соответствующих нормативным требованиям,                     в результате капитального ремонта       и ремонта автомобильных дорог</t>
  </si>
  <si>
    <t xml:space="preserve">Прогрессирую-щий</t>
  </si>
  <si>
    <t xml:space="preserve">Государственная программа</t>
  </si>
  <si>
    <t xml:space="preserve">Км</t>
  </si>
  <si>
    <t xml:space="preserve">              Министерство                     автомобильных дорог         и транспорта Белгородской области</t>
  </si>
  <si>
    <t xml:space="preserve">да</t>
  </si>
  <si>
    <t xml:space="preserve">Протяженность автодорог, подлежащих содержанию </t>
  </si>
  <si>
    <t xml:space="preserve"> КПМ</t>
  </si>
  <si>
    <t xml:space="preserve">км</t>
  </si>
  <si>
    <t xml:space="preserve">ОГКУ "Управление дорожного хозяйства и транспорта Белгородской области"</t>
  </si>
  <si>
    <t xml:space="preserve">1.2.</t>
  </si>
  <si>
    <t xml:space="preserve">Протяженность автодорог регионального значения, подлежащих ремонту</t>
  </si>
  <si>
    <t xml:space="preserve">1.3.</t>
  </si>
  <si>
    <t xml:space="preserve">Протяженность автодорог местного значения, подлежащих ремонту</t>
  </si>
  <si>
    <t xml:space="preserve">Министерство автомобильных дорог и транспорта Белгородской области</t>
  </si>
  <si>
    <t xml:space="preserve">1.4.</t>
  </si>
  <si>
    <t xml:space="preserve">Количество мостов регионального значения, подлежащих ремонту</t>
  </si>
  <si>
    <t xml:space="preserve">штук</t>
  </si>
  <si>
    <t xml:space="preserve"> -</t>
  </si>
  <si>
    <t xml:space="preserve">ОГКУ "УпрДорТранс"</t>
  </si>
  <si>
    <t xml:space="preserve">1.5.</t>
  </si>
  <si>
    <t xml:space="preserve">Количество мостов местного значения, подлежащих ремонту</t>
  </si>
  <si>
    <t xml:space="preserve">1.6.</t>
  </si>
  <si>
    <t xml:space="preserve">Протяженность автодорог регионального значения, подлежащих капитальному ремонту</t>
  </si>
  <si>
    <t xml:space="preserve"> - </t>
  </si>
  <si>
    <t xml:space="preserve">1.7.</t>
  </si>
  <si>
    <t xml:space="preserve">Протяженность автодорог, обустроенных наружным освещением, км</t>
  </si>
  <si>
    <t xml:space="preserve">1.8.</t>
  </si>
  <si>
    <t xml:space="preserve">Протяженность искусственных сооружений, подлежащих капитальному ремонту</t>
  </si>
  <si>
    <t xml:space="preserve">пог. м</t>
  </si>
  <si>
    <t xml:space="preserve">1.9.</t>
  </si>
  <si>
    <t xml:space="preserve">Количество изготовленной проектно-сметной документации</t>
  </si>
  <si>
    <t xml:space="preserve">    </t>
  </si>
  <si>
    <t xml:space="preserve"> </t>
  </si>
  <si>
    <t xml:space="preserve">3. Помесячный план достижения показателей комплекса процессных мероприятий 1 в 2024 году</t>
  </si>
  <si>
    <t xml:space="preserve">Наименование показателя</t>
  </si>
  <si>
    <t xml:space="preserve">Плановые значения по кварталам/месяцам</t>
  </si>
  <si>
    <t xml:space="preserve">На конец 2024 года</t>
  </si>
  <si>
    <t xml:space="preserve">январь</t>
  </si>
  <si>
    <t xml:space="preserve">февраль</t>
  </si>
  <si>
    <t xml:space="preserve">март</t>
  </si>
  <si>
    <t xml:space="preserve">апрель</t>
  </si>
  <si>
    <t xml:space="preserve">май</t>
  </si>
  <si>
    <t xml:space="preserve">июнь</t>
  </si>
  <si>
    <t xml:space="preserve">июль</t>
  </si>
  <si>
    <t xml:space="preserve">август</t>
  </si>
  <si>
    <t xml:space="preserve">сентябрь</t>
  </si>
  <si>
    <t xml:space="preserve">октябрь</t>
  </si>
  <si>
    <t xml:space="preserve">ноябрь</t>
  </si>
  <si>
    <t xml:space="preserve">Прирост протяженности автомобильных дорог общего пользования регионального (межмуниципального) и местного значения, соответствующих нормативным требованиям, в результате капитального ремонта и ремонта автомобильных дорог</t>
  </si>
  <si>
    <t xml:space="preserve">пог.м</t>
  </si>
  <si>
    <t xml:space="preserve">4. Показатели комплекса процессных мероприятий 1 по муниципальным образованиям Белгородской области</t>
  </si>
  <si>
    <t xml:space="preserve">Наименование муниципального образования </t>
  </si>
  <si>
    <t xml:space="preserve">Значения по годам, км </t>
  </si>
  <si>
    <t xml:space="preserve">год</t>
  </si>
  <si>
    <t xml:space="preserve">2024 год *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</si>
  <si>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</si>
  <si>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</si>
  <si>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</si>
  <si>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</si>
  <si>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2029 год</t>
  </si>
  <si>
    <t xml:space="preserve">2030 год</t>
  </si>
  <si>
    <t xml:space="preserve">ВСЕГО</t>
  </si>
  <si>
    <t xml:space="preserve">Алексеевский муниципальный округ                    </t>
  </si>
  <si>
    <t xml:space="preserve">Белгородский район  </t>
  </si>
  <si>
    <t xml:space="preserve">Борисовский район </t>
  </si>
  <si>
    <t xml:space="preserve">Валуйский муниципальный округ                        </t>
  </si>
  <si>
    <t xml:space="preserve">Вейделевский район </t>
  </si>
  <si>
    <t xml:space="preserve">Волоконовский район </t>
  </si>
  <si>
    <t xml:space="preserve">Грайворонский муниципальный округ                 </t>
  </si>
  <si>
    <t xml:space="preserve">Губкинский городской округ </t>
  </si>
  <si>
    <t xml:space="preserve">Ивнянский район </t>
  </si>
  <si>
    <t xml:space="preserve">1.10.</t>
  </si>
  <si>
    <t xml:space="preserve">Корочанский район </t>
  </si>
  <si>
    <t xml:space="preserve">1.11.</t>
  </si>
  <si>
    <t xml:space="preserve">Красненский район</t>
  </si>
  <si>
    <t xml:space="preserve">1.12.</t>
  </si>
  <si>
    <t xml:space="preserve">Красногвардейский район</t>
  </si>
  <si>
    <t xml:space="preserve">1.13.</t>
  </si>
  <si>
    <t xml:space="preserve">Краснояружский район                              </t>
  </si>
  <si>
    <t xml:space="preserve">1.14.</t>
  </si>
  <si>
    <t xml:space="preserve">Новооскольский муниципальный округ               </t>
  </si>
  <si>
    <t xml:space="preserve">1.15.</t>
  </si>
  <si>
    <t xml:space="preserve">Прохоровский район                                 </t>
  </si>
  <si>
    <t xml:space="preserve">1.16.</t>
  </si>
  <si>
    <t xml:space="preserve">Ракитянский район                                    </t>
  </si>
  <si>
    <t xml:space="preserve">1.17.</t>
  </si>
  <si>
    <t xml:space="preserve">Ровеньский район</t>
  </si>
  <si>
    <t xml:space="preserve">1.18.</t>
  </si>
  <si>
    <t xml:space="preserve">Старооскольский городской округ </t>
  </si>
  <si>
    <t xml:space="preserve">1.19.</t>
  </si>
  <si>
    <t xml:space="preserve">Чернянский район                                   </t>
  </si>
  <si>
    <t xml:space="preserve">1.20.</t>
  </si>
  <si>
    <t xml:space="preserve">Шебекинский муниципальный округ</t>
  </si>
  <si>
    <t xml:space="preserve">1.21.</t>
  </si>
  <si>
    <t xml:space="preserve">Яковлевский муниципальный округ </t>
  </si>
  <si>
    <t xml:space="preserve">1.22.</t>
  </si>
  <si>
    <t xml:space="preserve">город Белгород </t>
  </si>
  <si>
    <t xml:space="preserve">*</t>
  </si>
  <si>
    <t xml:space="preserve">При формировании бюджета дорожного фонда Белгородской области показатель рассчитывается на 1-й финансовый год.</t>
  </si>
  <si>
    <t xml:space="preserve">5. Перечень мероприятий (результатов) комплекса процессных мероприятий 1</t>
  </si>
  <si>
    <t xml:space="preserve">Наименование мероприятия (результата)</t>
  </si>
  <si>
    <t xml:space="preserve">Тип мероприятия (результата)</t>
  </si>
  <si>
    <t xml:space="preserve">Значения мероприятия (результата), параметра характеристики мероприятия (результата) по годам</t>
  </si>
  <si>
    <t xml:space="preserve">Связь с показателями комплекса процессных мероприятий</t>
  </si>
  <si>
    <t xml:space="preserve">  Обеспечение сохранности существующей сети автомобильных дорог  и безопасности дорожного движения     </t>
  </si>
  <si>
    <t xml:space="preserve">Выполнены работы по содержанию автодорог и мостов регионального значения и мероприятия, направленные на обеспечение безопасности дорожного движения</t>
  </si>
  <si>
    <t xml:space="preserve">Приобретение товаров, выполнение работ, оказание услуг </t>
  </si>
  <si>
    <t xml:space="preserve"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в результате капитального ремонта и ремонта автомобильных дорог</t>
  </si>
  <si>
    <t xml:space="preserve">  </t>
  </si>
  <si>
    <t xml:space="preserve">1.1.1.</t>
  </si>
  <si>
    <t xml:space="preserve">Выполнен комплекс дорожных работ по содержанию автодорог и мостов регионального значения и мероприятий по обеспечению безопасности дорожного движения</t>
  </si>
  <si>
    <t xml:space="preserve">Отремонтировано автодорог регионального значения</t>
  </si>
  <si>
    <t xml:space="preserve"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  в результате капитального ремонта и ремонта автомобильных дорог</t>
  </si>
  <si>
    <t xml:space="preserve">1.2.1.</t>
  </si>
  <si>
    <t xml:space="preserve">Произведены дорожные работы по ремонту автодорог регионального значения.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</si>
  <si>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 xml:space="preserve">Отремонтировано автодорог местного значения</t>
  </si>
  <si>
    <t xml:space="preserve">Оказание услуг </t>
  </si>
  <si>
    <t xml:space="preserve"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в результате капитального ремонта и ремонта автомобильных дорог</t>
  </si>
  <si>
    <t xml:space="preserve">1.3.1.</t>
  </si>
  <si>
    <t xml:space="preserve">Выполнены работы по капитальному ремонту и ремонту автодорог местного значения.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9 к государственной программе.                                                                                                                                                                                          Порядок предоставления и распределения субсидий из дорожного фонда Белгородской области бюджетам муниципальных районов, городских и муниципальных округов Белгородской области                  на строительство (реконструкцию) автомобильных дорог общего пользования местного значения и искусственных сооружений на них, на капитальный ремонт и ремонт сети автомобильных дорог общего пользования населенных пунктов и искусственных сооружений на них приведен в приложении № 10 к государственной программе
</t>
  </si>
  <si>
    <t xml:space="preserve">Отремонтировано мостов регионального значения </t>
  </si>
  <si>
    <t xml:space="preserve">Штука</t>
  </si>
  <si>
    <t xml:space="preserve"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   в результате капитального ремонта и ремонта автомобильных дорог</t>
  </si>
  <si>
    <t xml:space="preserve">1.4.1.</t>
  </si>
  <si>
    <t xml:space="preserve">Выполнены работы по ремонту мостов регионального значения</t>
  </si>
  <si>
    <t xml:space="preserve">Отремонтировано мостов местного значения </t>
  </si>
  <si>
    <t xml:space="preserve">Штук</t>
  </si>
  <si>
    <t xml:space="preserve"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                             в результате капитального ремонта и ремонта автомобильных дорог</t>
  </si>
  <si>
    <t xml:space="preserve">Выполнены работы по ремонту мостов местного значения.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9 к государственной программе.                     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субсидий из дорожного фонда Белгородской области бюджетам муниципальных районов и городских округов на строительство (реконструкцию) автомобильных дорог общего пользования местного значения и искусственных сооружений на них, на капитальный ремонт и ремонт сети автомобильных дорог общего пользования населенных пунктов и искусственных сооружений на них приведен в приложении № 10 к государственной программе
</t>
  </si>
  <si>
    <t xml:space="preserve">Капитально отремонтировано автодорог регионального значения</t>
  </si>
  <si>
    <t xml:space="preserve"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 в результате капитального ремонта и ремонта автомобильных дорог</t>
  </si>
  <si>
    <t xml:space="preserve">1.5.1.</t>
  </si>
  <si>
    <t xml:space="preserve">Произведены дорожные работы по  восстановлению транспортно-эксплуатационных характеристик автодорог регионального значения.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</si>
  <si>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 xml:space="preserve">Капитально отремонтировано дорог по элементам обустройства (устройство недостающего электроосвещения)</t>
  </si>
  <si>
    <t xml:space="preserve">1.6.1.</t>
  </si>
  <si>
    <t xml:space="preserve">Выполнены работы по устройству недостающего электроосвещения на автодорогах регионального значения.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</si>
  <si>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 xml:space="preserve">Капитально отремонтировано искусственных сооружений</t>
  </si>
  <si>
    <t xml:space="preserve">Приобретение товаров, работ, услуг </t>
  </si>
  <si>
    <t xml:space="preserve">Прирост протяженности автомобильных дорог общего пользования регионального (межмуниципального)                        и местного значения, соответствующих нормативным требованиям,                                                   в результате капитального ремонта и ремонта автомобильных дорог</t>
  </si>
  <si>
    <t xml:space="preserve">1.8.1.</t>
  </si>
  <si>
    <t xml:space="preserve">Выполнены работы по капитальному ремонту мостов регионального значения</t>
  </si>
  <si>
    <t xml:space="preserve">Изготовлена проектно-сметная документация</t>
  </si>
  <si>
    <t xml:space="preserve"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в результате капитального ремонта и ремонта автомобильных дорог</t>
  </si>
  <si>
    <t xml:space="preserve">1.7.1.</t>
  </si>
  <si>
    <t xml:space="preserve">Получены положительные заключения государственной экспертизы</t>
  </si>
  <si>
    <t xml:space="preserve">6. Финансовое обеспечение комплекса процессных мероприятий 1</t>
  </si>
  <si>
    <t xml:space="preserve">Таблица 1</t>
  </si>
  <si>
    <t xml:space="preserve">Источник финансового обеспечения</t>
  </si>
  <si>
    <t xml:space="preserve">Код бюджетной классификации</t>
  </si>
  <si>
    <t xml:space="preserve">Объем финансового обеспечения по годам реализации, тыс. рублей</t>
  </si>
  <si>
    <t xml:space="preserve">ГРБС / Рз / Пр / ЦСР / ВР</t>
  </si>
  <si>
    <t xml:space="preserve">Всего</t>
  </si>
  <si>
    <t xml:space="preserve">Всего по комплексу процессных мероприятий «Обеспечение сохранности существующей сети автомобильных дорог»</t>
  </si>
  <si>
    <t xml:space="preserve">Всего, в том числе:</t>
  </si>
  <si>
    <t xml:space="preserve">Федеральный бюджет </t>
  </si>
  <si>
    <t xml:space="preserve">Областной бюджет</t>
  </si>
  <si>
    <t xml:space="preserve">Консолидированные бюджеты муниципальных образований</t>
  </si>
  <si>
    <t xml:space="preserve"> 04 09</t>
  </si>
  <si>
    <t xml:space="preserve">10 4 01 20570</t>
  </si>
  <si>
    <t xml:space="preserve">Областной бюджет (ИТС)</t>
  </si>
  <si>
    <t xml:space="preserve">10 4 01 20360</t>
  </si>
  <si>
    <t xml:space="preserve">2.1.</t>
  </si>
  <si>
    <t xml:space="preserve">3.</t>
  </si>
  <si>
    <t xml:space="preserve">3.1.</t>
  </si>
  <si>
    <t xml:space="preserve">10 4 01 72140</t>
  </si>
  <si>
    <t xml:space="preserve">3.2.</t>
  </si>
  <si>
    <t xml:space="preserve">4.</t>
  </si>
  <si>
    <t xml:space="preserve">Оремонтировано мостов регионального значения </t>
  </si>
  <si>
    <t xml:space="preserve">4.1.</t>
  </si>
  <si>
    <t xml:space="preserve">5.</t>
  </si>
  <si>
    <t xml:space="preserve">Оремонтировано мостов местного значения </t>
  </si>
  <si>
    <t xml:space="preserve">5.1.</t>
  </si>
  <si>
    <t xml:space="preserve">5.2.</t>
  </si>
  <si>
    <t xml:space="preserve">6.</t>
  </si>
  <si>
    <t xml:space="preserve">Капитально отремонтировано автодорог регионального значения </t>
  </si>
  <si>
    <t xml:space="preserve">6.1.</t>
  </si>
  <si>
    <t xml:space="preserve">10 4 01 20580</t>
  </si>
  <si>
    <t xml:space="preserve">7.</t>
  </si>
  <si>
    <t xml:space="preserve">Капитально отремонтировано сетей наружного освещения вдоль автодорог</t>
  </si>
  <si>
    <t xml:space="preserve">7.1.</t>
  </si>
  <si>
    <t xml:space="preserve">8.</t>
  </si>
  <si>
    <t xml:space="preserve">8.1.</t>
  </si>
  <si>
    <t xml:space="preserve">9.</t>
  </si>
  <si>
    <t xml:space="preserve">Изготовлена проектно- сметная документация</t>
  </si>
  <si>
    <t xml:space="preserve">9.1.</t>
  </si>
  <si>
    <t xml:space="preserve">            Наименование мероприятия (результата) / источник               финансового обеспечения</t>
  </si>
  <si>
    <t xml:space="preserve">Объем финансового обеспечения по годам, тыс. рублей</t>
  </si>
  <si>
    <t xml:space="preserve">2024 год</t>
  </si>
  <si>
    <t xml:space="preserve">Всего по комплексу процессных мероприятий «Обеспечение сохранности существующей сети автомобильных дорог и безопасности дорожного движения»</t>
  </si>
  <si>
    <t xml:space="preserve">Региональный бюджет (всего), из них:</t>
  </si>
  <si>
    <t xml:space="preserve">- межбюджетные трансферты из федерального бюджета (справочно)</t>
  </si>
  <si>
    <t xml:space="preserve">- межбюджетные трансферты из иных бюджетов бюджетной системы Российской Федерации (справочно)</t>
  </si>
  <si>
    <t xml:space="preserve"> - межбюджетные трансферты местным бюджетам</t>
  </si>
  <si>
    <t xml:space="preserve"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</si>
  <si>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 xml:space="preserve">Бюджет территориального государственного внебюджетного фонда (бюджет территориального фонда обязательного медицинского страхования)</t>
  </si>
  <si>
    <t xml:space="preserve">Внебюджетные источники</t>
  </si>
  <si>
    <t xml:space="preserve">КЖЦ</t>
  </si>
  <si>
    <t xml:space="preserve">10 4 01 9Д060</t>
  </si>
  <si>
    <t xml:space="preserve">10 4 01 9Д070</t>
  </si>
  <si>
    <t xml:space="preserve">10 4 01 9Д410</t>
  </si>
  <si>
    <t xml:space="preserve">10 4 01 9Д080</t>
  </si>
  <si>
    <t xml:space="preserve">10 4 01 9Д090</t>
  </si>
  <si>
    <t xml:space="preserve">10 4 01 9Д100</t>
  </si>
  <si>
    <t xml:space="preserve">10 4 01 9Д110</t>
  </si>
  <si>
    <t xml:space="preserve">10 4 01 9Д120</t>
  </si>
  <si>
    <t xml:space="preserve">10 4 01 9Д130</t>
  </si>
  <si>
    <t xml:space="preserve">Нераспределенный резерв (региональный бюджет)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</si>
</sst>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_-* #,##0.00\ _₽_-;\-* #,##0.00\ _₽_-;_-* \-??\ _₽_-;_-@_-"/>
    <numFmt numFmtId="166" formatCode="#,##0.0"/>
    <numFmt numFmtId="167" formatCode="0.0"/>
    <numFmt numFmtId="168" formatCode="0.000"/>
    <numFmt numFmtId="169" formatCode="#,##0.000"/>
    <numFmt numFmtId="170" formatCode="#,##0"/>
    <numFmt numFmtId="171" formatCode="dd/mmm"/>
  </numFmts>
  <fonts count="26">
    <font>
      <sz val="11"/>
      <color theme="1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name val="Arial Cyr"/>
      <family val="0"/>
      <charset val="204"/>
    </font>
    <font>
      <sz val="10"/>
      <name val="Arial Cyr"/>
      <family val="0"/>
      <charset val="1"/>
    </font>
    <font>
      <sz val="10"/>
      <name val="Arial"/>
      <family val="0"/>
      <charset val="1"/>
    </font>
    <font>
      <sz val="12"/>
      <color theme="1"/>
      <name val="Times New Roman"/>
      <family val="1"/>
      <charset val="204"/>
    </font>
    <font>
      <u val="single"/>
      <sz val="12"/>
      <color theme="10"/>
      <name val="Times New Roman"/>
      <family val="1"/>
      <charset val="204"/>
    </font>
    <font>
      <sz val="12"/>
      <name val="Times New Roman"/>
      <family val="1"/>
      <charset val="204"/>
    </font>
    <font>
      <i val="true"/>
      <sz val="12"/>
      <color theme="1"/>
      <name val="Times New Roman"/>
      <family val="1"/>
      <charset val="204"/>
    </font>
    <font>
      <b val="true"/>
      <sz val="14"/>
      <color theme="1"/>
      <name val="Times New Roman"/>
      <family val="1"/>
      <charset val="204"/>
    </font>
    <font>
      <b val="true"/>
      <sz val="14"/>
      <color theme="1"/>
      <name val="Times New Roman"/>
      <family val="1"/>
      <charset val="1"/>
    </font>
    <font>
      <b val="true"/>
      <sz val="12"/>
      <color theme="1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 val="true"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 val="true"/>
      <sz val="12"/>
      <color rgb="FF000000"/>
      <name val="Times New Roman"/>
      <family val="1"/>
      <charset val="204"/>
    </font>
    <font>
      <b val="true"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10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/>
      <diagonal/>
    </border>
  </borders>
  <cellStyleXfs count="10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2" fillId="0" borderId="0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3" fillId="0" borderId="0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1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7" fontId="11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11" fillId="3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11" fillId="3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1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7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2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2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1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9" fillId="2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2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14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14" fillId="2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1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2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3" fillId="0" borderId="2" xfId="9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3" fillId="0" borderId="4" xfId="9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13" fillId="0" borderId="2" xfId="9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3" fillId="0" borderId="2" xfId="9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20" fillId="0" borderId="2" xfId="9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1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3" fillId="0" borderId="5" xfId="9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2" xfId="3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0" borderId="0" xfId="9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1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3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2" xfId="62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2" xfId="6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2" xfId="6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6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20" fillId="3" borderId="3" xfId="9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3" fillId="0" borderId="3" xfId="9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4" xfId="4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2" xfId="4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3" fillId="0" borderId="2" xfId="4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0" borderId="2" xfId="4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3" xfId="4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0" borderId="9" xfId="9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3" fillId="0" borderId="3" xfId="4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2" xfId="62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8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Гиперссылка 2" xfId="21"/>
    <cellStyle name="Гиперссылка 2 2" xfId="22"/>
    <cellStyle name="Обычный 10" xfId="23"/>
    <cellStyle name="Обычный 10 2" xfId="24"/>
    <cellStyle name="Обычный 11" xfId="25"/>
    <cellStyle name="Обычный 11 2" xfId="26"/>
    <cellStyle name="Обычный 12" xfId="27"/>
    <cellStyle name="Обычный 12 2" xfId="28"/>
    <cellStyle name="Обычный 13" xfId="29"/>
    <cellStyle name="Обычный 13 2" xfId="30"/>
    <cellStyle name="Обычный 14" xfId="31"/>
    <cellStyle name="Обычный 14 2" xfId="32"/>
    <cellStyle name="Обычный 15" xfId="33"/>
    <cellStyle name="Обычный 15 2" xfId="34"/>
    <cellStyle name="Обычный 16" xfId="35"/>
    <cellStyle name="Обычный 16 2" xfId="36"/>
    <cellStyle name="Обычный 16 3" xfId="37"/>
    <cellStyle name="Обычный 17" xfId="38"/>
    <cellStyle name="Обычный 17 2" xfId="39"/>
    <cellStyle name="Обычный 17 3" xfId="40"/>
    <cellStyle name="Обычный 18" xfId="41"/>
    <cellStyle name="Обычный 18 2" xfId="42"/>
    <cellStyle name="Обычный 18 3" xfId="43"/>
    <cellStyle name="Обычный 19" xfId="44"/>
    <cellStyle name="Обычный 2" xfId="45"/>
    <cellStyle name="Обычный 2 2" xfId="46"/>
    <cellStyle name="Обычный 2 2 2" xfId="47"/>
    <cellStyle name="Обычный 2 2 3" xfId="48"/>
    <cellStyle name="Обычный 2 3" xfId="49"/>
    <cellStyle name="Обычный 2 3 2" xfId="50"/>
    <cellStyle name="Обычный 2 3 3" xfId="51"/>
    <cellStyle name="Обычный 2 4" xfId="52"/>
    <cellStyle name="Обычный 2 4 2" xfId="53"/>
    <cellStyle name="Обычный 2 5" xfId="54"/>
    <cellStyle name="Обычный 2 5 2" xfId="55"/>
    <cellStyle name="Обычный 2 6" xfId="56"/>
    <cellStyle name="Обычный 2 6 2" xfId="57"/>
    <cellStyle name="Обычный 2 6 3" xfId="58"/>
    <cellStyle name="Обычный 2 7" xfId="59"/>
    <cellStyle name="Обычный 2 7 2" xfId="60"/>
    <cellStyle name="Обычный 2 7 3" xfId="61"/>
    <cellStyle name="Обычный 2 8" xfId="62"/>
    <cellStyle name="Обычный 2 9" xfId="63"/>
    <cellStyle name="Обычный 20" xfId="64"/>
    <cellStyle name="Обычный 21_Белгородская область хотелки районов" xfId="65"/>
    <cellStyle name="Обычный 3" xfId="66"/>
    <cellStyle name="Обычный 3 2" xfId="67"/>
    <cellStyle name="Обычный 3 2 2" xfId="68"/>
    <cellStyle name="Обычный 3 3" xfId="69"/>
    <cellStyle name="Обычный 4" xfId="70"/>
    <cellStyle name="Обычный 4 2" xfId="71"/>
    <cellStyle name="Обычный 4 2 2" xfId="72"/>
    <cellStyle name="Обычный 4 2 2 2" xfId="73"/>
    <cellStyle name="Обычный 4 2 2 2 2" xfId="74"/>
    <cellStyle name="Обычный 4 2 2 2 3" xfId="75"/>
    <cellStyle name="Обычный 4 2 2 3" xfId="76"/>
    <cellStyle name="Обычный 4 2 2 4" xfId="77"/>
    <cellStyle name="Обычный 4 2 3" xfId="78"/>
    <cellStyle name="Обычный 4 2 4" xfId="79"/>
    <cellStyle name="Обычный 4 3" xfId="80"/>
    <cellStyle name="Обычный 4 4" xfId="81"/>
    <cellStyle name="Обычный 5" xfId="82"/>
    <cellStyle name="Обычный 5 2" xfId="83"/>
    <cellStyle name="Обычный 6" xfId="84"/>
    <cellStyle name="Обычный 6 2" xfId="85"/>
    <cellStyle name="Обычный 7" xfId="86"/>
    <cellStyle name="Обычный 7 2" xfId="87"/>
    <cellStyle name="Обычный 8" xfId="88"/>
    <cellStyle name="Обычный 8 2" xfId="89"/>
    <cellStyle name="Обычный 9" xfId="90"/>
    <cellStyle name="Обычный 9 2" xfId="91"/>
    <cellStyle name="Обычный 9 2 2" xfId="92"/>
    <cellStyle name="Обычный 9 3" xfId="93"/>
    <cellStyle name="Обычный_3-РЕМОНТ_МОСТОВ на 2011год" xfId="94"/>
    <cellStyle name="Стиль 1" xfId="95"/>
    <cellStyle name="Финансовый 2" xfId="96"/>
    <cellStyle name="Финансовый 2 2" xfId="97"/>
    <cellStyle name="Финансовый 2 2 2" xfId="98"/>
    <cellStyle name="Финансовый 2 3" xfId="99"/>
    <cellStyle name="Финансовый 2 4" xfId="100"/>
    <cellStyle name="Финансовый 3" xfId="101"/>
    <cellStyle name="Финансовый 3 2" xfId="102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false"/>
  </sheetPr>
  <dimension ref="A1:Z33"/>
  <sheetViews>
    <sheetView showFormulas="false" showGridLines="true" showRowColHeaders="true" showZeros="true" rightToLeft="false" tabSelected="false" showOutlineSymbols="true" defaultGridColor="true" view="pageBreakPreview" topLeftCell="A1" colorId="64" zoomScale="80" zoomScaleNormal="84" zoomScalePageLayoutView="80" workbookViewId="0">
      <selection pane="topLeft" activeCell="S22" activeCellId="0" sqref="S22"/>
    </sheetView>
  </sheetViews>
  <sheetFormatPr defaultColWidth="9.1484375" defaultRowHeight="15.75" zeroHeight="false" outlineLevelRow="0" outlineLevelCol="0"/>
  <cols>
    <col collapsed="false" customWidth="true" hidden="false" outlineLevel="0" max="1" min="1" style="1" width="4.42"/>
    <col collapsed="false" customWidth="true" hidden="false" outlineLevel="0" max="2" min="2" style="1" width="37.42"/>
    <col collapsed="false" customWidth="true" hidden="false" outlineLevel="0" max="3" min="3" style="1" width="16.14"/>
    <col collapsed="false" customWidth="true" hidden="false" outlineLevel="0" max="4" min="4" style="1" width="18"/>
    <col collapsed="false" customWidth="true" hidden="false" outlineLevel="0" max="5" min="5" style="1" width="12.42"/>
    <col collapsed="false" customWidth="true" hidden="false" outlineLevel="0" max="6" min="6" style="1" width="10.29"/>
    <col collapsed="false" customWidth="true" hidden="false" outlineLevel="0" max="7" min="7" style="1" width="7.29"/>
    <col collapsed="false" customWidth="true" hidden="false" outlineLevel="0" max="8" min="8" style="1" width="8.29"/>
    <col collapsed="false" customWidth="true" hidden="false" outlineLevel="0" max="9" min="9" style="1" width="7.57"/>
    <col collapsed="false" customWidth="true" hidden="false" outlineLevel="0" max="10" min="10" style="1" width="7.71"/>
    <col collapsed="false" customWidth="true" hidden="false" outlineLevel="0" max="11" min="11" style="1" width="8"/>
    <col collapsed="false" customWidth="true" hidden="false" outlineLevel="0" max="12" min="12" style="1" width="7.86"/>
    <col collapsed="false" customWidth="false" hidden="false" outlineLevel="0" max="13" min="13" style="1" width="9.14"/>
    <col collapsed="false" customWidth="true" hidden="false" outlineLevel="0" max="14" min="14" style="1" width="8.42"/>
    <col collapsed="false" customWidth="true" hidden="false" outlineLevel="0" max="15" min="15" style="1" width="28.14"/>
    <col collapsed="false" customWidth="true" hidden="true" outlineLevel="0" max="16" min="16" style="1" width="24"/>
    <col collapsed="false" customWidth="true" hidden="true" outlineLevel="0" max="17" min="17" style="1" width="20.14"/>
    <col collapsed="false" customWidth="false" hidden="false" outlineLevel="0" max="16384" min="18" style="1" width="9.14"/>
  </cols>
  <sheetData>
    <row r="1" customFormat="false" ht="15.75" hidden="false" customHeight="false" outlineLevel="0" collapsed="false">
      <c r="A1" s="2" t="str">
        <f aca="false">HYPERLINK("#Оглавление!A1","Назад в оглавление")</f>
        <v>Назад в оглавление</v>
      </c>
      <c r="B1" s="3"/>
      <c r="D1" s="4"/>
    </row>
    <row r="2" customFormat="false" ht="39.15" hidden="false" customHeight="true" outlineLevel="0" collapsed="false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 t="s">
        <v>1</v>
      </c>
      <c r="Q2" s="5"/>
    </row>
    <row r="3" customFormat="false" ht="19.55" hidden="false" customHeight="true" outlineLevel="0" collapsed="false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5"/>
      <c r="Q3" s="7"/>
    </row>
    <row r="4" customFormat="false" ht="28.5" hidden="false" customHeight="true" outlineLevel="0" collapsed="false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customFormat="false" ht="28.5" hidden="false" customHeight="true" outlineLevel="0" collapsed="false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</row>
    <row r="6" customFormat="false" ht="40.5" hidden="false" customHeight="true" outlineLevel="0" collapsed="false">
      <c r="A6" s="11" t="s">
        <v>4</v>
      </c>
      <c r="B6" s="12" t="s">
        <v>5</v>
      </c>
      <c r="C6" s="12" t="s">
        <v>6</v>
      </c>
      <c r="D6" s="12" t="s">
        <v>7</v>
      </c>
      <c r="E6" s="12" t="s">
        <v>8</v>
      </c>
      <c r="F6" s="12" t="s">
        <v>9</v>
      </c>
      <c r="G6" s="12"/>
      <c r="H6" s="12" t="s">
        <v>10</v>
      </c>
      <c r="I6" s="12"/>
      <c r="J6" s="12"/>
      <c r="K6" s="12"/>
      <c r="L6" s="12"/>
      <c r="M6" s="12"/>
      <c r="N6" s="12"/>
      <c r="O6" s="12" t="s">
        <v>11</v>
      </c>
      <c r="P6" s="13" t="s">
        <v>12</v>
      </c>
      <c r="Q6" s="13" t="s">
        <v>13</v>
      </c>
    </row>
    <row r="7" customFormat="false" ht="41.25" hidden="false" customHeight="true" outlineLevel="0" collapsed="false">
      <c r="A7" s="11"/>
      <c r="B7" s="12"/>
      <c r="C7" s="12"/>
      <c r="D7" s="12"/>
      <c r="E7" s="12"/>
      <c r="F7" s="12" t="s">
        <v>14</v>
      </c>
      <c r="G7" s="12" t="s">
        <v>15</v>
      </c>
      <c r="H7" s="12" t="n">
        <v>2024</v>
      </c>
      <c r="I7" s="12" t="n">
        <v>2025</v>
      </c>
      <c r="J7" s="12" t="n">
        <v>2026</v>
      </c>
      <c r="K7" s="12" t="n">
        <v>2027</v>
      </c>
      <c r="L7" s="12" t="n">
        <v>2028</v>
      </c>
      <c r="M7" s="12" t="n">
        <v>2029</v>
      </c>
      <c r="N7" s="12" t="n">
        <v>2030</v>
      </c>
      <c r="O7" s="12"/>
      <c r="P7" s="13"/>
      <c r="Q7" s="13"/>
      <c r="U7" s="1" t="s">
        <v>16</v>
      </c>
    </row>
    <row r="8" customFormat="false" ht="33.75" hidden="false" customHeight="true" outlineLevel="0" collapsed="false">
      <c r="A8" s="12" t="n">
        <v>1</v>
      </c>
      <c r="B8" s="12" t="n">
        <v>2</v>
      </c>
      <c r="C8" s="12" t="n">
        <v>3</v>
      </c>
      <c r="D8" s="12" t="n">
        <v>4</v>
      </c>
      <c r="E8" s="12" t="n">
        <v>5</v>
      </c>
      <c r="F8" s="12" t="n">
        <v>6</v>
      </c>
      <c r="G8" s="12" t="n">
        <v>7</v>
      </c>
      <c r="H8" s="12" t="n">
        <v>8</v>
      </c>
      <c r="I8" s="12" t="n">
        <v>9</v>
      </c>
      <c r="J8" s="12" t="n">
        <v>10</v>
      </c>
      <c r="K8" s="12" t="n">
        <v>11</v>
      </c>
      <c r="L8" s="12" t="n">
        <v>12</v>
      </c>
      <c r="M8" s="12" t="n">
        <v>13</v>
      </c>
      <c r="N8" s="12" t="n">
        <v>14</v>
      </c>
      <c r="O8" s="12" t="n">
        <v>15</v>
      </c>
      <c r="P8" s="13" t="n">
        <v>16</v>
      </c>
      <c r="Q8" s="13" t="n">
        <v>17</v>
      </c>
    </row>
    <row r="9" customFormat="false" ht="45" hidden="false" customHeight="true" outlineLevel="0" collapsed="false">
      <c r="A9" s="12" t="s">
        <v>17</v>
      </c>
      <c r="B9" s="14" t="s">
        <v>18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5"/>
      <c r="Q9" s="16"/>
    </row>
    <row r="10" customFormat="false" ht="144.75" hidden="false" customHeight="true" outlineLevel="0" collapsed="false">
      <c r="A10" s="17" t="s">
        <v>19</v>
      </c>
      <c r="B10" s="16" t="s">
        <v>20</v>
      </c>
      <c r="C10" s="18" t="s">
        <v>21</v>
      </c>
      <c r="D10" s="18" t="s">
        <v>22</v>
      </c>
      <c r="E10" s="17" t="s">
        <v>23</v>
      </c>
      <c r="F10" s="19" t="n">
        <v>652.9</v>
      </c>
      <c r="G10" s="17" t="n">
        <v>2022</v>
      </c>
      <c r="H10" s="19" t="n">
        <f aca="false">H12+H13</f>
        <v>162.972</v>
      </c>
      <c r="I10" s="19" t="n">
        <f aca="false">I12+I13+I16</f>
        <v>146.004</v>
      </c>
      <c r="J10" s="19" t="n">
        <f aca="false">J12+J13+J16</f>
        <v>98.092</v>
      </c>
      <c r="K10" s="19" t="n">
        <f aca="false">K12+K13+K16</f>
        <v>86.6</v>
      </c>
      <c r="L10" s="19" t="n">
        <f aca="false">L12+L13+L16</f>
        <v>93</v>
      </c>
      <c r="M10" s="19" t="n">
        <f aca="false">M12+M13+M16</f>
        <v>95</v>
      </c>
      <c r="N10" s="19" t="n">
        <f aca="false">N12+N13+N16</f>
        <v>100</v>
      </c>
      <c r="O10" s="18" t="s">
        <v>24</v>
      </c>
      <c r="P10" s="15" t="s">
        <v>25</v>
      </c>
      <c r="Q10" s="20"/>
      <c r="Z10" s="1" t="s">
        <v>16</v>
      </c>
    </row>
    <row r="11" customFormat="false" ht="45" hidden="true" customHeight="true" outlineLevel="0" collapsed="false">
      <c r="A11" s="17" t="s">
        <v>19</v>
      </c>
      <c r="B11" s="16" t="s">
        <v>26</v>
      </c>
      <c r="C11" s="18" t="s">
        <v>21</v>
      </c>
      <c r="D11" s="17" t="s">
        <v>27</v>
      </c>
      <c r="E11" s="17" t="s">
        <v>28</v>
      </c>
      <c r="F11" s="19" t="n">
        <v>6339.9</v>
      </c>
      <c r="G11" s="17" t="n">
        <v>2022</v>
      </c>
      <c r="H11" s="19" t="n">
        <v>6359</v>
      </c>
      <c r="I11" s="19" t="n">
        <v>6359</v>
      </c>
      <c r="J11" s="19" t="n">
        <v>6359</v>
      </c>
      <c r="K11" s="19" t="n">
        <v>6359</v>
      </c>
      <c r="L11" s="19" t="n">
        <v>6359</v>
      </c>
      <c r="M11" s="19" t="n">
        <v>6359</v>
      </c>
      <c r="N11" s="19" t="n">
        <v>6359</v>
      </c>
      <c r="O11" s="15" t="s">
        <v>29</v>
      </c>
      <c r="P11" s="15"/>
      <c r="Q11" s="20"/>
    </row>
    <row r="12" customFormat="false" ht="53.25" hidden="true" customHeight="true" outlineLevel="0" collapsed="false">
      <c r="A12" s="18" t="s">
        <v>30</v>
      </c>
      <c r="B12" s="16" t="s">
        <v>31</v>
      </c>
      <c r="C12" s="18" t="s">
        <v>21</v>
      </c>
      <c r="D12" s="17" t="s">
        <v>27</v>
      </c>
      <c r="E12" s="18" t="s">
        <v>28</v>
      </c>
      <c r="F12" s="21" t="n">
        <v>88</v>
      </c>
      <c r="G12" s="17" t="n">
        <v>2022</v>
      </c>
      <c r="H12" s="21" t="n">
        <f aca="false">57.7-1.6</f>
        <v>56.1</v>
      </c>
      <c r="I12" s="22" t="n">
        <f aca="false">60.5+1.6</f>
        <v>62.1</v>
      </c>
      <c r="J12" s="21" t="n">
        <v>59.8</v>
      </c>
      <c r="K12" s="21" t="n">
        <v>86.6</v>
      </c>
      <c r="L12" s="21" t="n">
        <v>90</v>
      </c>
      <c r="M12" s="21" t="n">
        <v>92</v>
      </c>
      <c r="N12" s="21" t="n">
        <v>97</v>
      </c>
      <c r="O12" s="15"/>
      <c r="P12" s="15"/>
      <c r="Q12" s="23"/>
    </row>
    <row r="13" customFormat="false" ht="68.25" hidden="true" customHeight="true" outlineLevel="0" collapsed="false">
      <c r="A13" s="18" t="s">
        <v>32</v>
      </c>
      <c r="B13" s="16" t="s">
        <v>33</v>
      </c>
      <c r="C13" s="18" t="s">
        <v>21</v>
      </c>
      <c r="D13" s="17" t="s">
        <v>27</v>
      </c>
      <c r="E13" s="18" t="s">
        <v>28</v>
      </c>
      <c r="F13" s="18" t="n">
        <v>285.8</v>
      </c>
      <c r="G13" s="17" t="n">
        <v>2022</v>
      </c>
      <c r="H13" s="24" t="n">
        <f aca="false">107.965-1.093</f>
        <v>106.872</v>
      </c>
      <c r="I13" s="22" t="n">
        <v>82.404</v>
      </c>
      <c r="J13" s="21" t="n">
        <v>38.292</v>
      </c>
      <c r="K13" s="18"/>
      <c r="L13" s="18"/>
      <c r="M13" s="18"/>
      <c r="N13" s="18"/>
      <c r="O13" s="15" t="s">
        <v>34</v>
      </c>
      <c r="P13" s="25"/>
      <c r="Q13" s="23"/>
    </row>
    <row r="14" customFormat="false" ht="41.25" hidden="true" customHeight="true" outlineLevel="0" collapsed="false">
      <c r="A14" s="18" t="s">
        <v>35</v>
      </c>
      <c r="B14" s="16" t="s">
        <v>36</v>
      </c>
      <c r="C14" s="18" t="s">
        <v>21</v>
      </c>
      <c r="D14" s="17" t="s">
        <v>27</v>
      </c>
      <c r="E14" s="18" t="s">
        <v>37</v>
      </c>
      <c r="F14" s="18" t="n">
        <v>9</v>
      </c>
      <c r="G14" s="17" t="n">
        <v>2022</v>
      </c>
      <c r="H14" s="18" t="s">
        <v>38</v>
      </c>
      <c r="I14" s="18" t="s">
        <v>38</v>
      </c>
      <c r="J14" s="18" t="n">
        <v>4</v>
      </c>
      <c r="K14" s="18" t="n">
        <v>2</v>
      </c>
      <c r="L14" s="18" t="n">
        <v>1</v>
      </c>
      <c r="M14" s="18" t="n">
        <v>1</v>
      </c>
      <c r="N14" s="18" t="n">
        <v>1</v>
      </c>
      <c r="O14" s="26" t="s">
        <v>39</v>
      </c>
      <c r="P14" s="26"/>
      <c r="Q14" s="23"/>
    </row>
    <row r="15" customFormat="false" ht="75" hidden="true" customHeight="true" outlineLevel="0" collapsed="false">
      <c r="A15" s="18" t="s">
        <v>40</v>
      </c>
      <c r="B15" s="16" t="s">
        <v>41</v>
      </c>
      <c r="C15" s="18" t="s">
        <v>21</v>
      </c>
      <c r="D15" s="17" t="s">
        <v>27</v>
      </c>
      <c r="E15" s="18" t="s">
        <v>37</v>
      </c>
      <c r="F15" s="18" t="n">
        <v>2</v>
      </c>
      <c r="G15" s="17" t="n">
        <v>2022</v>
      </c>
      <c r="H15" s="18" t="n">
        <v>1</v>
      </c>
      <c r="I15" s="18" t="s">
        <v>38</v>
      </c>
      <c r="J15" s="18" t="s">
        <v>38</v>
      </c>
      <c r="K15" s="18" t="s">
        <v>38</v>
      </c>
      <c r="L15" s="18" t="s">
        <v>38</v>
      </c>
      <c r="M15" s="18" t="s">
        <v>38</v>
      </c>
      <c r="N15" s="18" t="s">
        <v>38</v>
      </c>
      <c r="O15" s="15" t="s">
        <v>34</v>
      </c>
      <c r="P15" s="25"/>
      <c r="Q15" s="23"/>
    </row>
    <row r="16" customFormat="false" ht="54.75" hidden="true" customHeight="true" outlineLevel="0" collapsed="false">
      <c r="A16" s="18" t="s">
        <v>42</v>
      </c>
      <c r="B16" s="16" t="s">
        <v>43</v>
      </c>
      <c r="C16" s="18" t="s">
        <v>21</v>
      </c>
      <c r="D16" s="17" t="s">
        <v>27</v>
      </c>
      <c r="E16" s="17" t="s">
        <v>28</v>
      </c>
      <c r="F16" s="17" t="s">
        <v>44</v>
      </c>
      <c r="G16" s="17" t="n">
        <v>2022</v>
      </c>
      <c r="H16" s="17"/>
      <c r="I16" s="27" t="n">
        <v>1.5</v>
      </c>
      <c r="J16" s="27"/>
      <c r="K16" s="27"/>
      <c r="L16" s="27" t="n">
        <v>3</v>
      </c>
      <c r="M16" s="27" t="n">
        <v>3</v>
      </c>
      <c r="N16" s="27" t="n">
        <v>3</v>
      </c>
      <c r="O16" s="28" t="s">
        <v>39</v>
      </c>
      <c r="P16" s="28"/>
      <c r="Q16" s="20"/>
    </row>
    <row r="17" customFormat="false" ht="54.75" hidden="true" customHeight="true" outlineLevel="0" collapsed="false">
      <c r="A17" s="18" t="s">
        <v>45</v>
      </c>
      <c r="B17" s="16" t="s">
        <v>46</v>
      </c>
      <c r="C17" s="18" t="s">
        <v>21</v>
      </c>
      <c r="D17" s="17" t="s">
        <v>27</v>
      </c>
      <c r="E17" s="17" t="s">
        <v>28</v>
      </c>
      <c r="F17" s="17" t="n">
        <v>3.1</v>
      </c>
      <c r="G17" s="17" t="n">
        <v>2022</v>
      </c>
      <c r="H17" s="29"/>
      <c r="I17" s="29"/>
      <c r="K17" s="27" t="n">
        <v>46.4</v>
      </c>
      <c r="L17" s="27" t="n">
        <v>50</v>
      </c>
      <c r="M17" s="27" t="n">
        <v>50</v>
      </c>
      <c r="N17" s="27" t="n">
        <v>50</v>
      </c>
      <c r="O17" s="28"/>
      <c r="P17" s="28"/>
      <c r="Q17" s="20"/>
    </row>
    <row r="18" customFormat="false" ht="55.5" hidden="true" customHeight="true" outlineLevel="0" collapsed="false">
      <c r="A18" s="18" t="s">
        <v>47</v>
      </c>
      <c r="B18" s="16" t="s">
        <v>48</v>
      </c>
      <c r="C18" s="18" t="s">
        <v>21</v>
      </c>
      <c r="D18" s="17" t="s">
        <v>27</v>
      </c>
      <c r="E18" s="17" t="s">
        <v>49</v>
      </c>
      <c r="F18" s="17" t="s">
        <v>44</v>
      </c>
      <c r="G18" s="17" t="n">
        <v>2022</v>
      </c>
      <c r="H18" s="30" t="s">
        <v>44</v>
      </c>
      <c r="I18" s="30" t="s">
        <v>44</v>
      </c>
      <c r="J18" s="30" t="s">
        <v>44</v>
      </c>
      <c r="K18" s="30" t="s">
        <v>44</v>
      </c>
      <c r="L18" s="30" t="s">
        <v>44</v>
      </c>
      <c r="M18" s="30" t="s">
        <v>44</v>
      </c>
      <c r="N18" s="30" t="s">
        <v>44</v>
      </c>
      <c r="O18" s="28"/>
      <c r="P18" s="28"/>
      <c r="Q18" s="20"/>
    </row>
    <row r="19" customFormat="false" ht="41.25" hidden="true" customHeight="true" outlineLevel="0" collapsed="false">
      <c r="A19" s="18" t="s">
        <v>50</v>
      </c>
      <c r="B19" s="23" t="s">
        <v>51</v>
      </c>
      <c r="C19" s="18" t="s">
        <v>21</v>
      </c>
      <c r="D19" s="17" t="s">
        <v>27</v>
      </c>
      <c r="E19" s="18" t="s">
        <v>37</v>
      </c>
      <c r="F19" s="18" t="n">
        <v>10</v>
      </c>
      <c r="G19" s="17" t="n">
        <v>2022</v>
      </c>
      <c r="H19" s="18" t="n">
        <v>10</v>
      </c>
      <c r="I19" s="18" t="n">
        <v>10</v>
      </c>
      <c r="J19" s="18" t="n">
        <v>10</v>
      </c>
      <c r="K19" s="18" t="n">
        <v>10</v>
      </c>
      <c r="L19" s="18" t="n">
        <v>10</v>
      </c>
      <c r="M19" s="18" t="n">
        <v>10</v>
      </c>
      <c r="N19" s="18" t="n">
        <v>10</v>
      </c>
      <c r="O19" s="28"/>
      <c r="P19" s="28"/>
      <c r="Q19" s="23"/>
    </row>
    <row r="20" customFormat="false" ht="33.75" hidden="false" customHeight="true" outlineLevel="0" collapsed="false">
      <c r="A20" s="31"/>
      <c r="B20" s="31"/>
      <c r="C20" s="31"/>
      <c r="D20" s="31"/>
      <c r="E20" s="32"/>
      <c r="F20" s="32"/>
      <c r="G20" s="33"/>
      <c r="H20" s="32"/>
      <c r="I20" s="32"/>
      <c r="J20" s="32"/>
      <c r="K20" s="32"/>
      <c r="L20" s="32"/>
      <c r="M20" s="32"/>
      <c r="N20" s="32"/>
      <c r="O20" s="31"/>
      <c r="P20" s="31"/>
      <c r="Q20" s="31"/>
    </row>
    <row r="21" customFormat="false" ht="15.75" hidden="false" customHeight="false" outlineLevel="0" collapsed="false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</row>
    <row r="22" customFormat="false" ht="15.75" hidden="false" customHeight="false" outlineLevel="0" collapsed="false"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</row>
    <row r="27" customFormat="false" ht="15.75" hidden="false" customHeight="false" outlineLevel="0" collapsed="false">
      <c r="J27" s="1" t="s">
        <v>52</v>
      </c>
    </row>
    <row r="33" customFormat="false" ht="15.75" hidden="false" customHeight="false" outlineLevel="0" collapsed="false">
      <c r="E33" s="1" t="s">
        <v>53</v>
      </c>
    </row>
  </sheetData>
  <mergeCells count="17">
    <mergeCell ref="A2:O2"/>
    <mergeCell ref="P2:Q2"/>
    <mergeCell ref="A3:O3"/>
    <mergeCell ref="A4:Q4"/>
    <mergeCell ref="A6:A7"/>
    <mergeCell ref="B6:B7"/>
    <mergeCell ref="C6:C7"/>
    <mergeCell ref="D6:D7"/>
    <mergeCell ref="E6:E7"/>
    <mergeCell ref="F6:G6"/>
    <mergeCell ref="H6:N6"/>
    <mergeCell ref="O6:O7"/>
    <mergeCell ref="P6:P7"/>
    <mergeCell ref="Q6:Q7"/>
    <mergeCell ref="B9:O9"/>
    <mergeCell ref="O11:O12"/>
    <mergeCell ref="O16:O19"/>
  </mergeCells>
  <printOptions headings="false" gridLines="false" gridLinesSet="true" horizontalCentered="true" verticalCentered="false"/>
  <pageMargins left="0.590277777777778" right="0.590277777777778" top="0.7875" bottom="0.590277777777778" header="0.315277777777778" footer="0.511811023622047"/>
  <pageSetup paperSize="9" scale="70" fitToWidth="1" fitToHeight="1" pageOrder="downThenOver" orientation="landscape" blackAndWhite="false" draft="false" cellComments="none" firstPageNumber="36" useFirstPageNumber="true" horizontalDpi="300" verticalDpi="300" copies="1"/>
  <headerFooter differentFirst="false" differentOddEven="false">
    <oddHeader>&amp;C&amp;P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false"/>
  </sheetPr>
  <dimension ref="A1:W18"/>
  <sheetViews>
    <sheetView showFormulas="false" showGridLines="true" showRowColHeaders="true" showZeros="true" rightToLeft="false" tabSelected="false" showOutlineSymbols="true" defaultGridColor="true" view="pageBreakPreview" topLeftCell="A1" colorId="64" zoomScale="80" zoomScaleNormal="100" zoomScalePageLayoutView="80" workbookViewId="0">
      <selection pane="topLeft" activeCell="D21" activeCellId="0" sqref="D21"/>
    </sheetView>
  </sheetViews>
  <sheetFormatPr defaultColWidth="9.1484375" defaultRowHeight="15" zeroHeight="false" outlineLevelRow="0" outlineLevelCol="0"/>
  <cols>
    <col collapsed="false" customWidth="true" hidden="false" outlineLevel="0" max="1" min="1" style="35" width="5.42"/>
    <col collapsed="false" customWidth="true" hidden="false" outlineLevel="0" max="2" min="2" style="35" width="43.71"/>
    <col collapsed="false" customWidth="true" hidden="false" outlineLevel="0" max="3" min="3" style="35" width="20"/>
    <col collapsed="false" customWidth="true" hidden="false" outlineLevel="0" max="4" min="4" style="35" width="12.86"/>
    <col collapsed="false" customWidth="true" hidden="false" outlineLevel="0" max="5" min="5" style="35" width="8.71"/>
    <col collapsed="false" customWidth="true" hidden="false" outlineLevel="0" max="6" min="6" style="35" width="12.15"/>
    <col collapsed="false" customWidth="false" hidden="false" outlineLevel="0" max="8" min="7" style="35" width="9.14"/>
    <col collapsed="false" customWidth="true" hidden="false" outlineLevel="0" max="9" min="9" style="35" width="7.57"/>
    <col collapsed="false" customWidth="false" hidden="false" outlineLevel="0" max="12" min="10" style="35" width="9.14"/>
    <col collapsed="false" customWidth="true" hidden="false" outlineLevel="0" max="13" min="13" style="35" width="11"/>
    <col collapsed="false" customWidth="false" hidden="false" outlineLevel="0" max="15" min="14" style="35" width="9.14"/>
    <col collapsed="false" customWidth="true" hidden="false" outlineLevel="0" max="16" min="16" style="35" width="12.15"/>
    <col collapsed="false" customWidth="false" hidden="false" outlineLevel="0" max="16384" min="17" style="35" width="9.14"/>
  </cols>
  <sheetData>
    <row r="1" s="36" customFormat="true" ht="15.75" hidden="false" customHeight="false" outlineLevel="0" collapsed="false">
      <c r="A1" s="2" t="str">
        <f aca="false">HYPERLINK("#Оглавление!A1","Назад в оглавление")</f>
        <v>Назад в оглавление</v>
      </c>
      <c r="B1" s="4"/>
      <c r="C1" s="4"/>
    </row>
    <row r="2" customFormat="false" ht="23.25" hidden="false" customHeight="true" outlineLevel="0" collapsed="false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</row>
    <row r="3" customFormat="false" ht="28.5" hidden="false" customHeight="true" outlineLevel="0" collapsed="false">
      <c r="A3" s="37" t="s">
        <v>54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8"/>
    </row>
    <row r="4" customFormat="false" ht="20.25" hidden="false" customHeight="true" outlineLevel="0" collapsed="false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8"/>
    </row>
    <row r="5" customFormat="false" ht="25.5" hidden="false" customHeight="true" outlineLevel="0" collapsed="false">
      <c r="A5" s="40" t="s">
        <v>4</v>
      </c>
      <c r="B5" s="41" t="s">
        <v>55</v>
      </c>
      <c r="C5" s="41" t="s">
        <v>7</v>
      </c>
      <c r="D5" s="41" t="s">
        <v>8</v>
      </c>
      <c r="E5" s="41" t="s">
        <v>56</v>
      </c>
      <c r="F5" s="41"/>
      <c r="G5" s="41"/>
      <c r="H5" s="41"/>
      <c r="I5" s="41"/>
      <c r="J5" s="41"/>
      <c r="K5" s="41"/>
      <c r="L5" s="41"/>
      <c r="M5" s="41"/>
      <c r="N5" s="41"/>
      <c r="O5" s="41"/>
      <c r="P5" s="41" t="s">
        <v>57</v>
      </c>
      <c r="Q5" s="38"/>
    </row>
    <row r="6" customFormat="false" ht="30" hidden="false" customHeight="true" outlineLevel="0" collapsed="false">
      <c r="A6" s="40"/>
      <c r="B6" s="41"/>
      <c r="C6" s="41"/>
      <c r="D6" s="41"/>
      <c r="E6" s="42" t="s">
        <v>58</v>
      </c>
      <c r="F6" s="42" t="s">
        <v>59</v>
      </c>
      <c r="G6" s="42" t="s">
        <v>60</v>
      </c>
      <c r="H6" s="42" t="s">
        <v>61</v>
      </c>
      <c r="I6" s="42" t="s">
        <v>62</v>
      </c>
      <c r="J6" s="42" t="s">
        <v>63</v>
      </c>
      <c r="K6" s="42" t="s">
        <v>64</v>
      </c>
      <c r="L6" s="42" t="s">
        <v>65</v>
      </c>
      <c r="M6" s="42" t="s">
        <v>66</v>
      </c>
      <c r="N6" s="42" t="s">
        <v>67</v>
      </c>
      <c r="O6" s="42" t="s">
        <v>68</v>
      </c>
      <c r="P6" s="41"/>
      <c r="Q6" s="38"/>
    </row>
    <row r="7" customFormat="false" ht="24.25" hidden="false" customHeight="true" outlineLevel="0" collapsed="false">
      <c r="A7" s="41" t="n">
        <v>1</v>
      </c>
      <c r="B7" s="41" t="n">
        <v>2</v>
      </c>
      <c r="C7" s="41" t="n">
        <v>3</v>
      </c>
      <c r="D7" s="41" t="n">
        <v>4</v>
      </c>
      <c r="E7" s="41" t="n">
        <v>5</v>
      </c>
      <c r="F7" s="41" t="n">
        <v>6</v>
      </c>
      <c r="G7" s="41" t="n">
        <v>7</v>
      </c>
      <c r="H7" s="41" t="n">
        <v>8</v>
      </c>
      <c r="I7" s="41" t="n">
        <v>9</v>
      </c>
      <c r="J7" s="41" t="n">
        <v>10</v>
      </c>
      <c r="K7" s="41" t="n">
        <v>11</v>
      </c>
      <c r="L7" s="41" t="n">
        <v>12</v>
      </c>
      <c r="M7" s="41" t="n">
        <v>13</v>
      </c>
      <c r="N7" s="41" t="n">
        <v>14</v>
      </c>
      <c r="O7" s="41" t="n">
        <v>15</v>
      </c>
      <c r="P7" s="41" t="n">
        <v>16</v>
      </c>
      <c r="Q7" s="38"/>
    </row>
    <row r="8" customFormat="false" ht="45" hidden="false" customHeight="true" outlineLevel="0" collapsed="false">
      <c r="A8" s="41" t="s">
        <v>17</v>
      </c>
      <c r="B8" s="43" t="s">
        <v>18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38"/>
    </row>
    <row r="9" s="46" customFormat="true" ht="105.75" hidden="false" customHeight="true" outlineLevel="0" collapsed="false">
      <c r="A9" s="17" t="s">
        <v>19</v>
      </c>
      <c r="B9" s="16" t="s">
        <v>69</v>
      </c>
      <c r="C9" s="18" t="s">
        <v>22</v>
      </c>
      <c r="D9" s="17" t="s">
        <v>23</v>
      </c>
      <c r="E9" s="44" t="s">
        <v>38</v>
      </c>
      <c r="F9" s="44" t="s">
        <v>38</v>
      </c>
      <c r="G9" s="44" t="s">
        <v>38</v>
      </c>
      <c r="H9" s="19" t="n">
        <v>25.6</v>
      </c>
      <c r="I9" s="19" t="n">
        <v>47.8</v>
      </c>
      <c r="J9" s="19" t="n">
        <v>18.3</v>
      </c>
      <c r="K9" s="19" t="n">
        <v>18.4</v>
      </c>
      <c r="L9" s="19" t="n">
        <v>9</v>
      </c>
      <c r="M9" s="19" t="n">
        <v>9.5</v>
      </c>
      <c r="N9" s="19" t="n">
        <f aca="false">15.5-3.5</f>
        <v>12</v>
      </c>
      <c r="O9" s="19" t="n">
        <f aca="false">5.7+9.1</f>
        <v>14.8</v>
      </c>
      <c r="P9" s="19" t="n">
        <f aca="false">SUM(H9:O9)+9.2-1.6</f>
        <v>163</v>
      </c>
      <c r="Q9" s="45"/>
    </row>
    <row r="10" customFormat="false" ht="36.75" hidden="true" customHeight="true" outlineLevel="0" collapsed="false">
      <c r="A10" s="47" t="s">
        <v>19</v>
      </c>
      <c r="B10" s="16" t="s">
        <v>26</v>
      </c>
      <c r="C10" s="17" t="s">
        <v>27</v>
      </c>
      <c r="D10" s="48" t="s">
        <v>28</v>
      </c>
      <c r="E10" s="19" t="n">
        <v>6339.9</v>
      </c>
      <c r="F10" s="19" t="n">
        <v>6339.9</v>
      </c>
      <c r="G10" s="19" t="n">
        <v>6339.9</v>
      </c>
      <c r="H10" s="19" t="n">
        <v>6339.9</v>
      </c>
      <c r="I10" s="19" t="n">
        <v>6339.9</v>
      </c>
      <c r="J10" s="19" t="n">
        <v>6339.9</v>
      </c>
      <c r="K10" s="19" t="n">
        <v>6339.9</v>
      </c>
      <c r="L10" s="19" t="n">
        <v>6339.9</v>
      </c>
      <c r="M10" s="19" t="n">
        <v>6339.9</v>
      </c>
      <c r="N10" s="19" t="n">
        <v>6339.9</v>
      </c>
      <c r="O10" s="19" t="n">
        <v>6339.9</v>
      </c>
      <c r="P10" s="19" t="n">
        <v>6339.9</v>
      </c>
      <c r="Q10" s="38"/>
    </row>
    <row r="11" customFormat="false" ht="34.5" hidden="true" customHeight="true" outlineLevel="0" collapsed="false">
      <c r="A11" s="18" t="s">
        <v>30</v>
      </c>
      <c r="B11" s="16" t="s">
        <v>31</v>
      </c>
      <c r="C11" s="17" t="s">
        <v>27</v>
      </c>
      <c r="D11" s="48" t="s">
        <v>28</v>
      </c>
      <c r="E11" s="44" t="s">
        <v>38</v>
      </c>
      <c r="F11" s="44" t="s">
        <v>38</v>
      </c>
      <c r="G11" s="44" t="s">
        <v>38</v>
      </c>
      <c r="H11" s="44" t="s">
        <v>38</v>
      </c>
      <c r="I11" s="44" t="n">
        <v>26.7</v>
      </c>
      <c r="J11" s="44" t="n">
        <f aca="false">31-I11</f>
        <v>4.3</v>
      </c>
      <c r="K11" s="49" t="n">
        <f aca="false">38.9-I11-J11</f>
        <v>7.9</v>
      </c>
      <c r="L11" s="49" t="n">
        <f aca="false">38.9-I11-J11-K11</f>
        <v>0</v>
      </c>
      <c r="M11" s="49" t="n">
        <f aca="false">53.1-I11-J11-K11-L11</f>
        <v>14.2</v>
      </c>
      <c r="N11" s="49" t="n">
        <v>0.3</v>
      </c>
      <c r="O11" s="30" t="n">
        <v>2.7</v>
      </c>
      <c r="P11" s="49" t="n">
        <v>56.1</v>
      </c>
      <c r="Q11" s="38"/>
    </row>
    <row r="12" customFormat="false" ht="35.25" hidden="true" customHeight="true" outlineLevel="0" collapsed="false">
      <c r="A12" s="18" t="s">
        <v>32</v>
      </c>
      <c r="B12" s="16" t="s">
        <v>33</v>
      </c>
      <c r="C12" s="17" t="s">
        <v>27</v>
      </c>
      <c r="D12" s="48" t="s">
        <v>28</v>
      </c>
      <c r="E12" s="44" t="s">
        <v>38</v>
      </c>
      <c r="F12" s="44" t="s">
        <v>38</v>
      </c>
      <c r="G12" s="44" t="s">
        <v>38</v>
      </c>
      <c r="H12" s="44" t="n">
        <v>25.6</v>
      </c>
      <c r="I12" s="44" t="n">
        <f aca="false">46.7-H12</f>
        <v>21.1</v>
      </c>
      <c r="J12" s="50" t="n">
        <f aca="false">60.7-H12-I12</f>
        <v>14</v>
      </c>
      <c r="K12" s="50" t="n">
        <f aca="false">71.2-H12-I12-J12</f>
        <v>10.5</v>
      </c>
      <c r="L12" s="50" t="n">
        <f aca="false">75.5-H12-I12-J12-K12</f>
        <v>4.3</v>
      </c>
      <c r="M12" s="50" t="n">
        <f aca="false">75.5-H12-I12-J12-K12-L12</f>
        <v>0</v>
      </c>
      <c r="N12" s="50" t="n">
        <v>15.2</v>
      </c>
      <c r="O12" s="50" t="n">
        <v>10</v>
      </c>
      <c r="P12" s="50" t="n">
        <v>100.7</v>
      </c>
      <c r="Q12" s="38"/>
    </row>
    <row r="13" customFormat="false" ht="33.75" hidden="true" customHeight="true" outlineLevel="0" collapsed="false">
      <c r="A13" s="18" t="s">
        <v>35</v>
      </c>
      <c r="B13" s="16" t="s">
        <v>36</v>
      </c>
      <c r="C13" s="17" t="s">
        <v>27</v>
      </c>
      <c r="D13" s="48" t="s">
        <v>70</v>
      </c>
      <c r="E13" s="44" t="s">
        <v>38</v>
      </c>
      <c r="F13" s="44" t="s">
        <v>38</v>
      </c>
      <c r="G13" s="44" t="s">
        <v>38</v>
      </c>
      <c r="H13" s="44" t="s">
        <v>38</v>
      </c>
      <c r="I13" s="44" t="s">
        <v>38</v>
      </c>
      <c r="J13" s="44" t="s">
        <v>38</v>
      </c>
      <c r="K13" s="44" t="s">
        <v>38</v>
      </c>
      <c r="L13" s="44" t="s">
        <v>38</v>
      </c>
      <c r="M13" s="44" t="s">
        <v>38</v>
      </c>
      <c r="N13" s="51"/>
      <c r="O13" s="51"/>
      <c r="P13" s="51"/>
      <c r="Q13" s="38"/>
    </row>
    <row r="14" customFormat="false" ht="36.75" hidden="true" customHeight="true" outlineLevel="0" collapsed="false">
      <c r="A14" s="18" t="s">
        <v>40</v>
      </c>
      <c r="B14" s="16" t="s">
        <v>41</v>
      </c>
      <c r="C14" s="17" t="s">
        <v>27</v>
      </c>
      <c r="D14" s="48" t="s">
        <v>70</v>
      </c>
      <c r="E14" s="44" t="s">
        <v>38</v>
      </c>
      <c r="F14" s="44" t="s">
        <v>38</v>
      </c>
      <c r="G14" s="44" t="s">
        <v>38</v>
      </c>
      <c r="H14" s="44" t="s">
        <v>38</v>
      </c>
      <c r="I14" s="44" t="s">
        <v>38</v>
      </c>
      <c r="J14" s="44" t="s">
        <v>38</v>
      </c>
      <c r="K14" s="44" t="s">
        <v>38</v>
      </c>
      <c r="L14" s="44" t="s">
        <v>38</v>
      </c>
      <c r="M14" s="44" t="s">
        <v>38</v>
      </c>
      <c r="N14" s="51" t="n">
        <v>1</v>
      </c>
      <c r="O14" s="51" t="n">
        <v>1</v>
      </c>
      <c r="P14" s="51" t="n">
        <v>1</v>
      </c>
      <c r="Q14" s="38"/>
    </row>
    <row r="15" customFormat="false" ht="60" hidden="true" customHeight="true" outlineLevel="0" collapsed="false">
      <c r="A15" s="18" t="s">
        <v>42</v>
      </c>
      <c r="B15" s="16" t="s">
        <v>43</v>
      </c>
      <c r="C15" s="17" t="s">
        <v>27</v>
      </c>
      <c r="D15" s="48" t="s">
        <v>28</v>
      </c>
      <c r="E15" s="44" t="s">
        <v>44</v>
      </c>
      <c r="F15" s="44" t="s">
        <v>44</v>
      </c>
      <c r="G15" s="44" t="s">
        <v>44</v>
      </c>
      <c r="H15" s="44" t="s">
        <v>44</v>
      </c>
      <c r="I15" s="44" t="s">
        <v>44</v>
      </c>
      <c r="J15" s="44" t="s">
        <v>44</v>
      </c>
      <c r="K15" s="44" t="s">
        <v>44</v>
      </c>
      <c r="L15" s="44" t="s">
        <v>44</v>
      </c>
      <c r="M15" s="44" t="s">
        <v>44</v>
      </c>
      <c r="N15" s="44" t="s">
        <v>44</v>
      </c>
      <c r="O15" s="44" t="s">
        <v>44</v>
      </c>
      <c r="P15" s="44" t="s">
        <v>44</v>
      </c>
      <c r="Q15" s="38"/>
      <c r="W15" s="35" t="s">
        <v>16</v>
      </c>
    </row>
    <row r="16" customFormat="false" ht="40.5" hidden="true" customHeight="true" outlineLevel="0" collapsed="false">
      <c r="A16" s="18" t="s">
        <v>45</v>
      </c>
      <c r="B16" s="16" t="s">
        <v>46</v>
      </c>
      <c r="C16" s="17" t="s">
        <v>27</v>
      </c>
      <c r="D16" s="48" t="s">
        <v>28</v>
      </c>
      <c r="E16" s="44" t="s">
        <v>44</v>
      </c>
      <c r="F16" s="44" t="s">
        <v>44</v>
      </c>
      <c r="G16" s="44" t="s">
        <v>44</v>
      </c>
      <c r="H16" s="44" t="s">
        <v>44</v>
      </c>
      <c r="I16" s="44" t="s">
        <v>44</v>
      </c>
      <c r="J16" s="44" t="s">
        <v>44</v>
      </c>
      <c r="K16" s="44" t="s">
        <v>44</v>
      </c>
      <c r="L16" s="44" t="s">
        <v>44</v>
      </c>
      <c r="M16" s="48" t="n">
        <v>11.1</v>
      </c>
      <c r="N16" s="44" t="s">
        <v>44</v>
      </c>
      <c r="O16" s="48"/>
      <c r="P16" s="48" t="n">
        <v>11.1</v>
      </c>
      <c r="Q16" s="38"/>
    </row>
    <row r="17" customFormat="false" ht="48.75" hidden="true" customHeight="true" outlineLevel="0" collapsed="false">
      <c r="A17" s="18" t="s">
        <v>47</v>
      </c>
      <c r="B17" s="16" t="s">
        <v>48</v>
      </c>
      <c r="C17" s="17" t="s">
        <v>27</v>
      </c>
      <c r="D17" s="48" t="s">
        <v>70</v>
      </c>
      <c r="E17" s="44" t="s">
        <v>44</v>
      </c>
      <c r="F17" s="44" t="s">
        <v>44</v>
      </c>
      <c r="G17" s="44" t="s">
        <v>44</v>
      </c>
      <c r="H17" s="44" t="s">
        <v>44</v>
      </c>
      <c r="I17" s="44" t="s">
        <v>44</v>
      </c>
      <c r="J17" s="44" t="s">
        <v>44</v>
      </c>
      <c r="K17" s="44" t="s">
        <v>44</v>
      </c>
      <c r="L17" s="44" t="s">
        <v>44</v>
      </c>
      <c r="M17" s="44" t="s">
        <v>44</v>
      </c>
      <c r="N17" s="44" t="s">
        <v>44</v>
      </c>
      <c r="O17" s="44" t="s">
        <v>44</v>
      </c>
      <c r="P17" s="44" t="s">
        <v>44</v>
      </c>
      <c r="Q17" s="38"/>
    </row>
    <row r="18" customFormat="false" ht="36.75" hidden="true" customHeight="true" outlineLevel="0" collapsed="false">
      <c r="A18" s="18" t="s">
        <v>50</v>
      </c>
      <c r="B18" s="23" t="s">
        <v>51</v>
      </c>
      <c r="C18" s="17" t="s">
        <v>27</v>
      </c>
      <c r="D18" s="18" t="s">
        <v>37</v>
      </c>
      <c r="E18" s="44" t="s">
        <v>38</v>
      </c>
      <c r="F18" s="44" t="s">
        <v>38</v>
      </c>
      <c r="G18" s="44" t="s">
        <v>38</v>
      </c>
      <c r="H18" s="44" t="s">
        <v>38</v>
      </c>
      <c r="I18" s="44" t="s">
        <v>38</v>
      </c>
      <c r="J18" s="44" t="s">
        <v>38</v>
      </c>
      <c r="K18" s="51" t="n">
        <v>2</v>
      </c>
      <c r="L18" s="51" t="n">
        <v>4</v>
      </c>
      <c r="M18" s="51" t="n">
        <v>6</v>
      </c>
      <c r="N18" s="51" t="n">
        <v>8</v>
      </c>
      <c r="O18" s="51" t="n">
        <v>10</v>
      </c>
      <c r="P18" s="51" t="n">
        <v>10</v>
      </c>
      <c r="Q18" s="38"/>
    </row>
  </sheetData>
  <mergeCells count="9">
    <mergeCell ref="A2:P2"/>
    <mergeCell ref="A3:P3"/>
    <mergeCell ref="A5:A6"/>
    <mergeCell ref="B5:B6"/>
    <mergeCell ref="C5:C6"/>
    <mergeCell ref="D5:D6"/>
    <mergeCell ref="E5:O5"/>
    <mergeCell ref="P5:P6"/>
    <mergeCell ref="B8:P8"/>
  </mergeCells>
  <printOptions headings="false" gridLines="false" gridLinesSet="true" horizontalCentered="true" verticalCentered="false"/>
  <pageMargins left="0.39375" right="0.39375" top="1.18125" bottom="0.590277777777778" header="0.315277777777778" footer="0.511811023622047"/>
  <pageSetup paperSize="9" scale="70" fitToWidth="1" fitToHeight="1" pageOrder="downThenOver" orientation="landscape" blackAndWhite="false" draft="false" cellComments="none" firstPageNumber="37" useFirstPageNumber="true" horizontalDpi="300" verticalDpi="300" copies="1"/>
  <headerFooter differentFirst="false" differentOddEven="false">
    <oddHeader>&amp;C&amp;P</oddHeader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false"/>
  </sheetPr>
  <dimension ref="A1:L33"/>
  <sheetViews>
    <sheetView showFormulas="false" showGridLines="true" showRowColHeaders="true" showZeros="true" rightToLeft="false" tabSelected="false" showOutlineSymbols="true" defaultGridColor="true" view="pageBreakPreview" topLeftCell="A1" colorId="64" zoomScale="80" zoomScaleNormal="100" zoomScalePageLayoutView="80" workbookViewId="0">
      <selection pane="topLeft" activeCell="P35" activeCellId="0" sqref="P35"/>
    </sheetView>
  </sheetViews>
  <sheetFormatPr defaultColWidth="9.1484375" defaultRowHeight="15" zeroHeight="false" outlineLevelRow="0" outlineLevelCol="0"/>
  <cols>
    <col collapsed="false" customWidth="true" hidden="false" outlineLevel="0" max="1" min="1" style="35" width="5.29"/>
    <col collapsed="false" customWidth="true" hidden="false" outlineLevel="0" max="2" min="2" style="35" width="39.81"/>
    <col collapsed="false" customWidth="true" hidden="false" outlineLevel="0" max="3" min="3" style="35" width="11.65"/>
    <col collapsed="false" customWidth="true" hidden="false" outlineLevel="0" max="4" min="4" style="35" width="11.12"/>
    <col collapsed="false" customWidth="true" hidden="false" outlineLevel="0" max="5" min="5" style="35" width="11.99"/>
    <col collapsed="false" customWidth="true" hidden="false" outlineLevel="0" max="6" min="6" style="35" width="10.42"/>
    <col collapsed="false" customWidth="true" hidden="false" outlineLevel="0" max="7" min="7" style="35" width="9.91"/>
    <col collapsed="false" customWidth="true" hidden="false" outlineLevel="0" max="8" min="8" style="35" width="10.6"/>
    <col collapsed="false" customWidth="true" hidden="false" outlineLevel="0" max="9" min="9" style="35" width="11.3"/>
    <col collapsed="false" customWidth="true" hidden="false" outlineLevel="0" max="10" min="10" style="35" width="9.56"/>
    <col collapsed="false" customWidth="true" hidden="false" outlineLevel="0" max="11" min="11" style="35" width="9.91"/>
    <col collapsed="false" customWidth="false" hidden="false" outlineLevel="0" max="16384" min="12" style="35" width="9.14"/>
  </cols>
  <sheetData>
    <row r="1" s="36" customFormat="true" ht="15.75" hidden="false" customHeight="false" outlineLevel="0" collapsed="false">
      <c r="A1" s="2" t="str">
        <f aca="false">HYPERLINK("#Оглавление!A1","Назад в оглавление")</f>
        <v>Назад в оглавление</v>
      </c>
      <c r="B1" s="4"/>
    </row>
    <row r="2" customFormat="false" ht="33" hidden="false" customHeight="true" outlineLevel="0" collapsed="false">
      <c r="A2" s="52" t="s">
        <v>71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3"/>
    </row>
    <row r="3" customFormat="false" ht="16.5" hidden="false" customHeight="true" outlineLevel="0" collapsed="false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3"/>
    </row>
    <row r="4" customFormat="false" ht="30.75" hidden="false" customHeight="true" outlineLevel="0" collapsed="false">
      <c r="A4" s="11" t="s">
        <v>4</v>
      </c>
      <c r="B4" s="11" t="s">
        <v>72</v>
      </c>
      <c r="C4" s="11" t="s">
        <v>9</v>
      </c>
      <c r="D4" s="11"/>
      <c r="E4" s="11" t="s">
        <v>73</v>
      </c>
      <c r="F4" s="11"/>
      <c r="G4" s="11"/>
      <c r="H4" s="11"/>
      <c r="I4" s="11"/>
      <c r="J4" s="11"/>
      <c r="K4" s="11"/>
    </row>
    <row r="5" customFormat="false" ht="30" hidden="false" customHeight="true" outlineLevel="0" collapsed="false">
      <c r="A5" s="11"/>
      <c r="B5" s="11"/>
      <c r="C5" s="11" t="s">
        <v>14</v>
      </c>
      <c r="D5" s="11" t="s">
        <v>74</v>
      </c>
      <c r="E5" s="11" t="s">
        <v>75</v>
      </c>
      <c r="F5" s="11" t="s">
        <v>76</v>
      </c>
      <c r="G5" s="11" t="s">
        <v>77</v>
      </c>
      <c r="H5" s="11" t="s">
        <v>78</v>
      </c>
      <c r="I5" s="11" t="s">
        <v>79</v>
      </c>
      <c r="J5" s="11" t="s">
        <v>80</v>
      </c>
      <c r="K5" s="11" t="s">
        <v>81</v>
      </c>
    </row>
    <row r="6" customFormat="false" ht="18" hidden="false" customHeight="true" outlineLevel="0" collapsed="false">
      <c r="A6" s="11" t="n">
        <v>1</v>
      </c>
      <c r="B6" s="11" t="n">
        <v>2</v>
      </c>
      <c r="C6" s="11" t="n">
        <v>3</v>
      </c>
      <c r="D6" s="11" t="n">
        <v>4</v>
      </c>
      <c r="E6" s="11" t="n">
        <v>5</v>
      </c>
      <c r="F6" s="11" t="n">
        <v>6</v>
      </c>
      <c r="G6" s="11" t="n">
        <v>7</v>
      </c>
      <c r="H6" s="11" t="n">
        <v>8</v>
      </c>
      <c r="I6" s="11" t="n">
        <v>9</v>
      </c>
      <c r="J6" s="11" t="n">
        <v>10</v>
      </c>
      <c r="K6" s="11" t="n">
        <v>11</v>
      </c>
    </row>
    <row r="7" customFormat="false" ht="36" hidden="false" customHeight="true" outlineLevel="0" collapsed="false">
      <c r="A7" s="11" t="s">
        <v>17</v>
      </c>
      <c r="B7" s="43" t="s">
        <v>18</v>
      </c>
      <c r="C7" s="43"/>
      <c r="D7" s="43"/>
      <c r="E7" s="43"/>
      <c r="F7" s="43"/>
      <c r="G7" s="43"/>
      <c r="H7" s="43"/>
      <c r="I7" s="43"/>
      <c r="J7" s="43"/>
      <c r="K7" s="43"/>
    </row>
    <row r="8" customFormat="false" ht="35.25" hidden="false" customHeight="true" outlineLevel="0" collapsed="false">
      <c r="A8" s="15"/>
      <c r="B8" s="55" t="s">
        <v>82</v>
      </c>
      <c r="C8" s="21" t="n">
        <f aca="false">SUM(C9:C30)-0.02</f>
        <v>279.64</v>
      </c>
      <c r="D8" s="18" t="n">
        <v>2022</v>
      </c>
      <c r="E8" s="21" t="n">
        <f aca="false">SUM(E9:E30)</f>
        <v>106.8717</v>
      </c>
      <c r="F8" s="21" t="n">
        <f aca="false">SUM(F9:F30)</f>
        <v>82.404</v>
      </c>
      <c r="G8" s="21" t="n">
        <f aca="false">SUM(G9:G30)</f>
        <v>38.292</v>
      </c>
      <c r="H8" s="21"/>
      <c r="I8" s="21"/>
      <c r="J8" s="21"/>
      <c r="K8" s="21"/>
    </row>
    <row r="9" customFormat="false" ht="26.25" hidden="false" customHeight="true" outlineLevel="0" collapsed="false">
      <c r="A9" s="15" t="s">
        <v>19</v>
      </c>
      <c r="B9" s="56" t="s">
        <v>83</v>
      </c>
      <c r="C9" s="57" t="n">
        <v>2.17</v>
      </c>
      <c r="D9" s="15" t="n">
        <v>2022</v>
      </c>
      <c r="E9" s="58" t="n">
        <v>10.3</v>
      </c>
      <c r="F9" s="18"/>
      <c r="G9" s="58" t="n">
        <v>8.43</v>
      </c>
      <c r="H9" s="18"/>
      <c r="I9" s="18"/>
      <c r="J9" s="18"/>
      <c r="K9" s="18"/>
    </row>
    <row r="10" customFormat="false" ht="27.75" hidden="false" customHeight="true" outlineLevel="0" collapsed="false">
      <c r="A10" s="15" t="s">
        <v>30</v>
      </c>
      <c r="B10" s="56" t="s">
        <v>84</v>
      </c>
      <c r="C10" s="57" t="n">
        <v>8.828</v>
      </c>
      <c r="D10" s="15" t="n">
        <v>2022</v>
      </c>
      <c r="E10" s="58" t="n">
        <v>17.148</v>
      </c>
      <c r="F10" s="58" t="n">
        <v>38.229</v>
      </c>
      <c r="G10" s="58"/>
      <c r="H10" s="18"/>
      <c r="I10" s="18"/>
      <c r="J10" s="18"/>
      <c r="K10" s="18"/>
    </row>
    <row r="11" customFormat="false" ht="36" hidden="false" customHeight="true" outlineLevel="0" collapsed="false">
      <c r="A11" s="15" t="s">
        <v>32</v>
      </c>
      <c r="B11" s="59" t="s">
        <v>85</v>
      </c>
      <c r="C11" s="57" t="n">
        <v>0.598</v>
      </c>
      <c r="D11" s="15" t="n">
        <v>2022</v>
      </c>
      <c r="E11" s="58" t="n">
        <v>1.392</v>
      </c>
      <c r="F11" s="58"/>
      <c r="G11" s="58" t="n">
        <v>0.852</v>
      </c>
      <c r="H11" s="18"/>
      <c r="I11" s="18"/>
      <c r="J11" s="18"/>
      <c r="K11" s="18"/>
    </row>
    <row r="12" customFormat="false" ht="36" hidden="false" customHeight="true" outlineLevel="0" collapsed="false">
      <c r="A12" s="15" t="s">
        <v>35</v>
      </c>
      <c r="B12" s="59" t="s">
        <v>86</v>
      </c>
      <c r="C12" s="57" t="n">
        <v>3.985</v>
      </c>
      <c r="D12" s="15" t="n">
        <v>2022</v>
      </c>
      <c r="E12" s="58" t="n">
        <f aca="false">0.341+(1.25-0.57)+0.43+0.85</f>
        <v>2.301</v>
      </c>
      <c r="F12" s="60" t="n">
        <f aca="false">4.266+3.41+0.857</f>
        <v>8.533</v>
      </c>
      <c r="G12" s="60"/>
      <c r="H12" s="18"/>
      <c r="I12" s="18"/>
      <c r="J12" s="18"/>
      <c r="K12" s="18"/>
    </row>
    <row r="13" customFormat="false" ht="36" hidden="false" customHeight="true" outlineLevel="0" collapsed="false">
      <c r="A13" s="15" t="s">
        <v>40</v>
      </c>
      <c r="B13" s="56" t="s">
        <v>87</v>
      </c>
      <c r="C13" s="61" t="n">
        <v>33.861</v>
      </c>
      <c r="D13" s="15" t="n">
        <v>2022</v>
      </c>
      <c r="E13" s="62" t="s">
        <v>44</v>
      </c>
      <c r="F13" s="18"/>
      <c r="G13" s="18"/>
      <c r="H13" s="18"/>
      <c r="I13" s="18"/>
      <c r="J13" s="18"/>
      <c r="K13" s="18"/>
    </row>
    <row r="14" customFormat="false" ht="36" hidden="false" customHeight="true" outlineLevel="0" collapsed="false">
      <c r="A14" s="15" t="s">
        <v>42</v>
      </c>
      <c r="B14" s="56" t="s">
        <v>88</v>
      </c>
      <c r="C14" s="61" t="n">
        <v>21.496</v>
      </c>
      <c r="D14" s="15" t="n">
        <v>2022</v>
      </c>
      <c r="E14" s="58" t="n">
        <v>6.581</v>
      </c>
      <c r="F14" s="58" t="n">
        <v>1.85</v>
      </c>
      <c r="G14" s="58" t="n">
        <v>1.45</v>
      </c>
      <c r="H14" s="18"/>
      <c r="I14" s="18"/>
      <c r="J14" s="18"/>
      <c r="K14" s="18"/>
    </row>
    <row r="15" customFormat="false" ht="36" hidden="false" customHeight="true" outlineLevel="0" collapsed="false">
      <c r="A15" s="15" t="s">
        <v>45</v>
      </c>
      <c r="B15" s="56" t="s">
        <v>89</v>
      </c>
      <c r="C15" s="61" t="n">
        <v>2.319</v>
      </c>
      <c r="D15" s="15" t="n">
        <v>2022</v>
      </c>
      <c r="E15" s="58" t="n">
        <v>3.717</v>
      </c>
      <c r="F15" s="18"/>
      <c r="G15" s="18"/>
      <c r="H15" s="18"/>
      <c r="I15" s="18"/>
      <c r="J15" s="18"/>
      <c r="K15" s="18"/>
    </row>
    <row r="16" customFormat="false" ht="36" hidden="false" customHeight="true" outlineLevel="0" collapsed="false">
      <c r="A16" s="15" t="s">
        <v>47</v>
      </c>
      <c r="B16" s="59" t="s">
        <v>90</v>
      </c>
      <c r="C16" s="61" t="n">
        <v>0.24</v>
      </c>
      <c r="D16" s="15" t="n">
        <v>2022</v>
      </c>
      <c r="E16" s="62" t="s">
        <v>44</v>
      </c>
      <c r="F16" s="18"/>
      <c r="G16" s="18"/>
      <c r="H16" s="18"/>
      <c r="I16" s="18"/>
      <c r="J16" s="18"/>
      <c r="K16" s="18"/>
    </row>
    <row r="17" customFormat="false" ht="36" hidden="false" customHeight="true" outlineLevel="0" collapsed="false">
      <c r="A17" s="15" t="s">
        <v>50</v>
      </c>
      <c r="B17" s="56" t="s">
        <v>91</v>
      </c>
      <c r="C17" s="61" t="n">
        <v>26.246</v>
      </c>
      <c r="D17" s="15" t="n">
        <v>2022</v>
      </c>
      <c r="E17" s="57" t="n">
        <v>2.946</v>
      </c>
      <c r="F17" s="18"/>
      <c r="G17" s="18"/>
      <c r="H17" s="18"/>
      <c r="I17" s="18"/>
      <c r="J17" s="18"/>
      <c r="K17" s="18"/>
    </row>
    <row r="18" customFormat="false" ht="36" hidden="false" customHeight="true" outlineLevel="0" collapsed="false">
      <c r="A18" s="15" t="s">
        <v>92</v>
      </c>
      <c r="B18" s="59" t="s">
        <v>93</v>
      </c>
      <c r="C18" s="61" t="n">
        <v>10.768</v>
      </c>
      <c r="D18" s="15" t="n">
        <v>2022</v>
      </c>
      <c r="E18" s="57" t="n">
        <v>2.572</v>
      </c>
      <c r="F18" s="63" t="n">
        <v>1</v>
      </c>
      <c r="G18" s="63" t="n">
        <v>7.12</v>
      </c>
      <c r="H18" s="18"/>
      <c r="I18" s="18"/>
      <c r="J18" s="18"/>
      <c r="K18" s="18"/>
    </row>
    <row r="19" customFormat="false" ht="36" hidden="false" customHeight="true" outlineLevel="0" collapsed="false">
      <c r="A19" s="15" t="s">
        <v>94</v>
      </c>
      <c r="B19" s="56" t="s">
        <v>95</v>
      </c>
      <c r="C19" s="61" t="n">
        <v>6.315</v>
      </c>
      <c r="D19" s="15" t="n">
        <v>2022</v>
      </c>
      <c r="E19" s="61" t="n">
        <v>4.029</v>
      </c>
      <c r="F19" s="18"/>
      <c r="G19" s="18" t="n">
        <v>6.716</v>
      </c>
      <c r="H19" s="18"/>
      <c r="I19" s="18"/>
      <c r="J19" s="18"/>
      <c r="K19" s="18"/>
    </row>
    <row r="20" customFormat="false" ht="36" hidden="false" customHeight="true" outlineLevel="0" collapsed="false">
      <c r="A20" s="15" t="s">
        <v>96</v>
      </c>
      <c r="B20" s="64" t="s">
        <v>97</v>
      </c>
      <c r="C20" s="61" t="n">
        <v>23.195</v>
      </c>
      <c r="D20" s="15" t="n">
        <v>2022</v>
      </c>
      <c r="E20" s="61" t="n">
        <v>0.942</v>
      </c>
      <c r="F20" s="61" t="n">
        <v>19.584</v>
      </c>
      <c r="G20" s="61"/>
      <c r="H20" s="18"/>
      <c r="I20" s="18"/>
      <c r="J20" s="18"/>
      <c r="K20" s="18"/>
    </row>
    <row r="21" customFormat="false" ht="36" hidden="false" customHeight="true" outlineLevel="0" collapsed="false">
      <c r="A21" s="15" t="s">
        <v>98</v>
      </c>
      <c r="B21" s="56" t="s">
        <v>99</v>
      </c>
      <c r="C21" s="62" t="s">
        <v>44</v>
      </c>
      <c r="D21" s="15" t="n">
        <v>2022</v>
      </c>
      <c r="E21" s="58" t="n">
        <v>3.442</v>
      </c>
      <c r="F21" s="18"/>
      <c r="G21" s="58" t="n">
        <v>4.702</v>
      </c>
      <c r="H21" s="18"/>
      <c r="I21" s="18"/>
      <c r="J21" s="18"/>
      <c r="K21" s="18"/>
    </row>
    <row r="22" customFormat="false" ht="36" hidden="false" customHeight="true" outlineLevel="0" collapsed="false">
      <c r="A22" s="15" t="s">
        <v>100</v>
      </c>
      <c r="B22" s="56" t="s">
        <v>101</v>
      </c>
      <c r="C22" s="61" t="n">
        <v>2.275</v>
      </c>
      <c r="D22" s="15" t="n">
        <v>2022</v>
      </c>
      <c r="E22" s="57"/>
      <c r="F22" s="18"/>
      <c r="G22" s="57"/>
      <c r="H22" s="18"/>
      <c r="I22" s="18"/>
      <c r="J22" s="18"/>
      <c r="K22" s="18"/>
    </row>
    <row r="23" customFormat="false" ht="27.75" hidden="false" customHeight="true" outlineLevel="0" collapsed="false">
      <c r="A23" s="15" t="s">
        <v>102</v>
      </c>
      <c r="B23" s="64" t="s">
        <v>103</v>
      </c>
      <c r="C23" s="57" t="n">
        <v>10.485</v>
      </c>
      <c r="D23" s="15" t="n">
        <v>2022</v>
      </c>
      <c r="E23" s="65" t="n">
        <f aca="false">7.155+1.225</f>
        <v>8.38</v>
      </c>
      <c r="F23" s="18"/>
      <c r="G23" s="65"/>
      <c r="H23" s="18"/>
      <c r="I23" s="18"/>
      <c r="J23" s="18"/>
      <c r="K23" s="18"/>
    </row>
    <row r="24" customFormat="false" ht="36" hidden="false" customHeight="true" outlineLevel="0" collapsed="false">
      <c r="A24" s="15" t="s">
        <v>104</v>
      </c>
      <c r="B24" s="56" t="s">
        <v>105</v>
      </c>
      <c r="C24" s="57"/>
      <c r="D24" s="15" t="n">
        <v>2022</v>
      </c>
      <c r="E24" s="58" t="n">
        <v>1.207</v>
      </c>
      <c r="F24" s="18"/>
      <c r="G24" s="58" t="n">
        <v>9.022</v>
      </c>
      <c r="H24" s="18"/>
      <c r="I24" s="18"/>
      <c r="J24" s="18"/>
      <c r="K24" s="18"/>
    </row>
    <row r="25" customFormat="false" ht="36" hidden="false" customHeight="true" outlineLevel="0" collapsed="false">
      <c r="A25" s="15" t="s">
        <v>106</v>
      </c>
      <c r="B25" s="56" t="s">
        <v>107</v>
      </c>
      <c r="C25" s="57" t="n">
        <v>25.6</v>
      </c>
      <c r="D25" s="15" t="n">
        <v>2022</v>
      </c>
      <c r="E25" s="62" t="s">
        <v>44</v>
      </c>
      <c r="F25" s="18"/>
      <c r="G25" s="18"/>
      <c r="H25" s="18"/>
      <c r="I25" s="18"/>
      <c r="J25" s="18"/>
      <c r="K25" s="18"/>
    </row>
    <row r="26" customFormat="false" ht="36" hidden="false" customHeight="true" outlineLevel="0" collapsed="false">
      <c r="A26" s="15" t="s">
        <v>108</v>
      </c>
      <c r="B26" s="56" t="s">
        <v>109</v>
      </c>
      <c r="C26" s="57" t="n">
        <v>39.275</v>
      </c>
      <c r="D26" s="15" t="n">
        <v>2022</v>
      </c>
      <c r="E26" s="58" t="n">
        <v>19.72</v>
      </c>
      <c r="F26" s="58" t="n">
        <f aca="false">1.108+12.1</f>
        <v>13.208</v>
      </c>
      <c r="G26" s="18"/>
      <c r="H26" s="18"/>
      <c r="I26" s="18"/>
      <c r="J26" s="18"/>
      <c r="K26" s="18"/>
    </row>
    <row r="27" customFormat="false" ht="36" hidden="false" customHeight="true" outlineLevel="0" collapsed="false">
      <c r="A27" s="15" t="s">
        <v>110</v>
      </c>
      <c r="B27" s="56" t="s">
        <v>111</v>
      </c>
      <c r="C27" s="61" t="n">
        <v>4.944</v>
      </c>
      <c r="D27" s="15" t="n">
        <v>2022</v>
      </c>
      <c r="E27" s="66" t="n">
        <v>6.28</v>
      </c>
      <c r="F27" s="18"/>
      <c r="G27" s="18"/>
      <c r="H27" s="18"/>
      <c r="I27" s="18"/>
      <c r="J27" s="18"/>
      <c r="K27" s="18"/>
    </row>
    <row r="28" customFormat="false" ht="27.75" hidden="false" customHeight="true" outlineLevel="0" collapsed="false">
      <c r="A28" s="15" t="s">
        <v>112</v>
      </c>
      <c r="B28" s="56" t="s">
        <v>113</v>
      </c>
      <c r="C28" s="61" t="n">
        <v>26.209</v>
      </c>
      <c r="D28" s="15" t="n">
        <v>2022</v>
      </c>
      <c r="E28" s="62" t="s">
        <v>44</v>
      </c>
      <c r="F28" s="18"/>
      <c r="G28" s="18"/>
      <c r="H28" s="18"/>
      <c r="I28" s="18"/>
      <c r="J28" s="18"/>
      <c r="K28" s="18"/>
    </row>
    <row r="29" customFormat="false" ht="29.25" hidden="false" customHeight="true" outlineLevel="0" collapsed="false">
      <c r="A29" s="15" t="s">
        <v>114</v>
      </c>
      <c r="B29" s="64" t="s">
        <v>115</v>
      </c>
      <c r="C29" s="61" t="n">
        <v>2.3</v>
      </c>
      <c r="D29" s="15" t="n">
        <v>2022</v>
      </c>
      <c r="E29" s="65" t="n">
        <v>4.9347</v>
      </c>
      <c r="F29" s="18"/>
      <c r="G29" s="18"/>
      <c r="H29" s="18"/>
      <c r="I29" s="18"/>
      <c r="J29" s="18"/>
      <c r="K29" s="18"/>
    </row>
    <row r="30" customFormat="false" ht="28.5" hidden="false" customHeight="true" outlineLevel="0" collapsed="false">
      <c r="A30" s="15" t="s">
        <v>116</v>
      </c>
      <c r="B30" s="64" t="s">
        <v>117</v>
      </c>
      <c r="C30" s="61" t="n">
        <v>28.551</v>
      </c>
      <c r="D30" s="15" t="n">
        <v>2022</v>
      </c>
      <c r="E30" s="61" t="n">
        <v>10.98</v>
      </c>
      <c r="F30" s="61"/>
      <c r="G30" s="18"/>
      <c r="H30" s="18"/>
      <c r="I30" s="18"/>
      <c r="J30" s="18"/>
      <c r="K30" s="18"/>
    </row>
    <row r="31" customFormat="false" ht="15" hidden="false" customHeight="true" outlineLevel="0" collapsed="false">
      <c r="A31" s="67"/>
      <c r="B31" s="68"/>
      <c r="C31" s="69"/>
      <c r="D31" s="32"/>
      <c r="E31" s="69"/>
      <c r="F31" s="32"/>
      <c r="G31" s="32"/>
      <c r="H31" s="32"/>
      <c r="I31" s="32"/>
      <c r="J31" s="32"/>
      <c r="K31" s="32"/>
    </row>
    <row r="32" customFormat="false" ht="24.75" hidden="false" customHeight="true" outlineLevel="0" collapsed="false">
      <c r="A32" s="70" t="s">
        <v>118</v>
      </c>
      <c r="B32" s="71" t="s">
        <v>119</v>
      </c>
      <c r="C32" s="71"/>
      <c r="D32" s="71"/>
      <c r="E32" s="71"/>
      <c r="F32" s="71"/>
      <c r="G32" s="71"/>
      <c r="H32" s="71"/>
      <c r="I32" s="71"/>
      <c r="J32" s="71"/>
      <c r="K32" s="71"/>
    </row>
    <row r="33" customFormat="false" ht="15" hidden="false" customHeight="true" outlineLevel="0" collapsed="false">
      <c r="A33" s="67"/>
      <c r="B33" s="72"/>
      <c r="C33" s="32"/>
      <c r="D33" s="32"/>
      <c r="E33" s="32"/>
      <c r="F33" s="32"/>
      <c r="G33" s="32"/>
      <c r="H33" s="32"/>
      <c r="I33" s="32"/>
      <c r="J33" s="32"/>
      <c r="K33" s="32"/>
    </row>
  </sheetData>
  <mergeCells count="7">
    <mergeCell ref="A2:K2"/>
    <mergeCell ref="A4:A5"/>
    <mergeCell ref="B4:B5"/>
    <mergeCell ref="C4:D4"/>
    <mergeCell ref="E4:K4"/>
    <mergeCell ref="B7:K7"/>
    <mergeCell ref="B32:K32"/>
  </mergeCells>
  <printOptions headings="false" gridLines="false" gridLinesSet="true" horizontalCentered="true" verticalCentered="false"/>
  <pageMargins left="0.39375" right="0.39375" top="0.590972222222222" bottom="0.590277777777778" header="0.315277777777778" footer="0.511811023622047"/>
  <pageSetup paperSize="9" scale="68" fitToWidth="1" fitToHeight="1" pageOrder="downThenOver" orientation="portrait" blackAndWhite="false" draft="false" cellComments="none" firstPageNumber="38" useFirstPageNumber="true" horizontalDpi="300" verticalDpi="300" copies="1"/>
  <headerFooter differentFirst="false" differentOddEven="false">
    <oddHeader>&amp;C&amp;P</oddHeader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false"/>
  </sheetPr>
  <dimension ref="A1:AA33"/>
  <sheetViews>
    <sheetView showFormulas="false" showGridLines="true" showRowColHeaders="true" showZeros="true" rightToLeft="false" tabSelected="false" showOutlineSymbols="true" defaultGridColor="true" view="pageBreakPreview" topLeftCell="A1" colorId="64" zoomScale="80" zoomScaleNormal="100" zoomScalePageLayoutView="80" workbookViewId="0">
      <selection pane="topLeft" activeCell="I1" activeCellId="0" sqref="I1"/>
    </sheetView>
  </sheetViews>
  <sheetFormatPr defaultColWidth="9.1484375" defaultRowHeight="15" zeroHeight="false" outlineLevelRow="0" outlineLevelCol="0"/>
  <cols>
    <col collapsed="false" customWidth="true" hidden="false" outlineLevel="0" max="1" min="1" style="73" width="7.86"/>
    <col collapsed="false" customWidth="true" hidden="false" outlineLevel="0" max="2" min="2" style="73" width="33.42"/>
    <col collapsed="false" customWidth="true" hidden="false" outlineLevel="0" max="3" min="3" style="73" width="16.71"/>
    <col collapsed="false" customWidth="true" hidden="false" outlineLevel="0" max="4" min="4" style="73" width="12.29"/>
    <col collapsed="false" customWidth="true" hidden="false" outlineLevel="0" max="5" min="5" style="73" width="9.57"/>
    <col collapsed="false" customWidth="true" hidden="false" outlineLevel="0" max="6" min="6" style="73" width="7.86"/>
    <col collapsed="false" customWidth="true" hidden="false" outlineLevel="0" max="7" min="7" style="73" width="8.42"/>
    <col collapsed="false" customWidth="true" hidden="false" outlineLevel="0" max="8" min="8" style="73" width="8.51"/>
    <col collapsed="false" customWidth="false" hidden="false" outlineLevel="0" max="13" min="9" style="73" width="9.14"/>
    <col collapsed="false" customWidth="true" hidden="false" outlineLevel="0" max="14" min="14" style="73" width="49.85"/>
    <col collapsed="false" customWidth="false" hidden="false" outlineLevel="0" max="16384" min="15" style="73" width="9.14"/>
  </cols>
  <sheetData>
    <row r="1" s="34" customFormat="true" ht="15.75" hidden="false" customHeight="false" outlineLevel="0" collapsed="false">
      <c r="A1" s="2" t="str">
        <f aca="false">HYPERLINK("#Оглавление!A1","Назад в оглавление")</f>
        <v>Назад в оглавление</v>
      </c>
      <c r="B1" s="74"/>
    </row>
    <row r="2" customFormat="false" ht="26.25" hidden="false" customHeight="true" outlineLevel="0" collapsed="false">
      <c r="A2" s="75" t="s">
        <v>120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customFormat="false" ht="17.25" hidden="false" customHeight="true" outlineLevel="0" collapsed="false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</row>
    <row r="4" customFormat="false" ht="43.5" hidden="false" customHeight="true" outlineLevel="0" collapsed="false">
      <c r="A4" s="12" t="s">
        <v>4</v>
      </c>
      <c r="B4" s="12" t="s">
        <v>121</v>
      </c>
      <c r="C4" s="12" t="s">
        <v>122</v>
      </c>
      <c r="D4" s="12" t="s">
        <v>8</v>
      </c>
      <c r="E4" s="12" t="s">
        <v>9</v>
      </c>
      <c r="F4" s="12"/>
      <c r="G4" s="12" t="s">
        <v>123</v>
      </c>
      <c r="H4" s="12"/>
      <c r="I4" s="12"/>
      <c r="J4" s="12"/>
      <c r="K4" s="12"/>
      <c r="L4" s="12"/>
      <c r="M4" s="12"/>
      <c r="N4" s="12" t="s">
        <v>124</v>
      </c>
    </row>
    <row r="5" customFormat="false" ht="39.75" hidden="false" customHeight="true" outlineLevel="0" collapsed="false">
      <c r="A5" s="12"/>
      <c r="B5" s="12"/>
      <c r="C5" s="12"/>
      <c r="D5" s="12"/>
      <c r="E5" s="12" t="s">
        <v>14</v>
      </c>
      <c r="F5" s="12" t="s">
        <v>74</v>
      </c>
      <c r="G5" s="12" t="n">
        <v>2024</v>
      </c>
      <c r="H5" s="12" t="n">
        <v>2025</v>
      </c>
      <c r="I5" s="12" t="n">
        <v>2026</v>
      </c>
      <c r="J5" s="12" t="n">
        <v>2027</v>
      </c>
      <c r="K5" s="12" t="n">
        <v>2028</v>
      </c>
      <c r="L5" s="12" t="n">
        <v>2029</v>
      </c>
      <c r="M5" s="12" t="n">
        <v>2030</v>
      </c>
      <c r="N5" s="12"/>
    </row>
    <row r="6" customFormat="false" ht="22.5" hidden="false" customHeight="true" outlineLevel="0" collapsed="false">
      <c r="A6" s="77" t="n">
        <v>1</v>
      </c>
      <c r="B6" s="12" t="n">
        <v>2</v>
      </c>
      <c r="C6" s="12" t="n">
        <v>3</v>
      </c>
      <c r="D6" s="12" t="n">
        <v>4</v>
      </c>
      <c r="E6" s="12" t="n">
        <v>5</v>
      </c>
      <c r="F6" s="12" t="n">
        <v>6</v>
      </c>
      <c r="G6" s="12" t="n">
        <v>7</v>
      </c>
      <c r="H6" s="12" t="n">
        <v>8</v>
      </c>
      <c r="I6" s="12" t="n">
        <v>9</v>
      </c>
      <c r="J6" s="12" t="n">
        <v>10</v>
      </c>
      <c r="K6" s="12" t="n">
        <v>11</v>
      </c>
      <c r="L6" s="12" t="n">
        <v>12</v>
      </c>
      <c r="M6" s="12" t="n">
        <v>13</v>
      </c>
      <c r="N6" s="12" t="n">
        <v>14</v>
      </c>
    </row>
    <row r="7" customFormat="false" ht="28.5" hidden="false" customHeight="true" outlineLevel="0" collapsed="false">
      <c r="A7" s="77" t="s">
        <v>17</v>
      </c>
      <c r="B7" s="78" t="s">
        <v>125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</row>
    <row r="8" customFormat="false" ht="111.75" hidden="false" customHeight="true" outlineLevel="0" collapsed="false">
      <c r="A8" s="79" t="s">
        <v>19</v>
      </c>
      <c r="B8" s="80" t="s">
        <v>126</v>
      </c>
      <c r="C8" s="81" t="s">
        <v>127</v>
      </c>
      <c r="D8" s="28" t="s">
        <v>23</v>
      </c>
      <c r="E8" s="82" t="n">
        <v>6339.9</v>
      </c>
      <c r="F8" s="28" t="n">
        <v>2022</v>
      </c>
      <c r="G8" s="82" t="n">
        <v>6359</v>
      </c>
      <c r="H8" s="82" t="n">
        <v>6359</v>
      </c>
      <c r="I8" s="82" t="n">
        <v>6359</v>
      </c>
      <c r="J8" s="82" t="n">
        <v>6359</v>
      </c>
      <c r="K8" s="82" t="n">
        <v>6359</v>
      </c>
      <c r="L8" s="82" t="n">
        <v>6359</v>
      </c>
      <c r="M8" s="82" t="n">
        <v>6359</v>
      </c>
      <c r="N8" s="81" t="s">
        <v>128</v>
      </c>
      <c r="V8" s="73" t="s">
        <v>129</v>
      </c>
    </row>
    <row r="9" customFormat="false" ht="31.5" hidden="false" customHeight="true" outlineLevel="0" collapsed="false">
      <c r="A9" s="15" t="s">
        <v>130</v>
      </c>
      <c r="B9" s="80" t="s">
        <v>131</v>
      </c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</row>
    <row r="10" customFormat="false" ht="112.5" hidden="false" customHeight="true" outlineLevel="0" collapsed="false">
      <c r="A10" s="15" t="s">
        <v>30</v>
      </c>
      <c r="B10" s="83" t="s">
        <v>132</v>
      </c>
      <c r="C10" s="81" t="s">
        <v>127</v>
      </c>
      <c r="D10" s="28" t="s">
        <v>23</v>
      </c>
      <c r="E10" s="84" t="n">
        <v>88</v>
      </c>
      <c r="F10" s="28" t="n">
        <v>2022</v>
      </c>
      <c r="G10" s="82" t="n">
        <f aca="false">57.7-1.6</f>
        <v>56.1</v>
      </c>
      <c r="H10" s="82" t="n">
        <f aca="false">60.5+1.6</f>
        <v>62.1</v>
      </c>
      <c r="I10" s="82" t="n">
        <v>59.8</v>
      </c>
      <c r="J10" s="82" t="n">
        <v>86.7</v>
      </c>
      <c r="K10" s="82" t="n">
        <v>90</v>
      </c>
      <c r="L10" s="82" t="n">
        <v>92</v>
      </c>
      <c r="M10" s="82" t="n">
        <v>97</v>
      </c>
      <c r="N10" s="81" t="s">
        <v>133</v>
      </c>
      <c r="O10" s="85" t="n">
        <f aca="false">SUM(G10:M10)</f>
        <v>543.7</v>
      </c>
      <c r="R10" s="73" t="s">
        <v>53</v>
      </c>
    </row>
    <row r="11" customFormat="false" ht="36.75" hidden="false" customHeight="true" outlineLevel="0" collapsed="false">
      <c r="A11" s="15" t="s">
        <v>134</v>
      </c>
      <c r="B11" s="80" t="s">
        <v>135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</row>
    <row r="12" customFormat="false" ht="112.5" hidden="false" customHeight="true" outlineLevel="0" collapsed="false">
      <c r="A12" s="15" t="s">
        <v>32</v>
      </c>
      <c r="B12" s="83" t="s">
        <v>136</v>
      </c>
      <c r="C12" s="81" t="s">
        <v>137</v>
      </c>
      <c r="D12" s="28" t="s">
        <v>23</v>
      </c>
      <c r="E12" s="15" t="n">
        <v>285.8</v>
      </c>
      <c r="F12" s="28" t="n">
        <v>2022</v>
      </c>
      <c r="G12" s="82" t="n">
        <v>106.8717</v>
      </c>
      <c r="H12" s="82" t="n">
        <v>82.404</v>
      </c>
      <c r="I12" s="82" t="n">
        <v>38.292</v>
      </c>
      <c r="J12" s="15" t="s">
        <v>38</v>
      </c>
      <c r="K12" s="15" t="s">
        <v>38</v>
      </c>
      <c r="L12" s="15" t="s">
        <v>38</v>
      </c>
      <c r="M12" s="15" t="s">
        <v>38</v>
      </c>
      <c r="N12" s="81" t="s">
        <v>138</v>
      </c>
      <c r="O12" s="85" t="n">
        <f aca="false">SUM(G12:H12)</f>
        <v>189.2757</v>
      </c>
      <c r="T12" s="73" t="s">
        <v>53</v>
      </c>
      <c r="U12" s="73" t="s">
        <v>129</v>
      </c>
    </row>
    <row r="13" customFormat="false" ht="92.35" hidden="false" customHeight="true" outlineLevel="0" collapsed="false">
      <c r="A13" s="15" t="s">
        <v>139</v>
      </c>
      <c r="B13" s="80" t="s">
        <v>140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</row>
    <row r="14" customFormat="false" ht="102.75" hidden="false" customHeight="true" outlineLevel="0" collapsed="false">
      <c r="A14" s="15" t="s">
        <v>35</v>
      </c>
      <c r="B14" s="83" t="s">
        <v>141</v>
      </c>
      <c r="C14" s="81" t="s">
        <v>127</v>
      </c>
      <c r="D14" s="15" t="s">
        <v>142</v>
      </c>
      <c r="E14" s="15" t="n">
        <v>9</v>
      </c>
      <c r="F14" s="28" t="n">
        <v>2022</v>
      </c>
      <c r="G14" s="84" t="s">
        <v>38</v>
      </c>
      <c r="H14" s="84" t="s">
        <v>38</v>
      </c>
      <c r="I14" s="15" t="n">
        <v>4</v>
      </c>
      <c r="J14" s="15" t="n">
        <v>2</v>
      </c>
      <c r="K14" s="15" t="n">
        <v>1</v>
      </c>
      <c r="L14" s="15" t="n">
        <v>1</v>
      </c>
      <c r="M14" s="15" t="n">
        <v>1</v>
      </c>
      <c r="N14" s="81" t="s">
        <v>143</v>
      </c>
      <c r="P14" s="73" t="s">
        <v>16</v>
      </c>
    </row>
    <row r="15" customFormat="false" ht="34.5" hidden="false" customHeight="true" outlineLevel="0" collapsed="false">
      <c r="A15" s="15" t="s">
        <v>144</v>
      </c>
      <c r="B15" s="80" t="s">
        <v>145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</row>
    <row r="16" customFormat="false" ht="111.75" hidden="true" customHeight="true" outlineLevel="0" collapsed="false">
      <c r="B16" s="83" t="s">
        <v>146</v>
      </c>
      <c r="C16" s="81" t="s">
        <v>137</v>
      </c>
      <c r="D16" s="15" t="s">
        <v>147</v>
      </c>
      <c r="E16" s="15" t="n">
        <v>2</v>
      </c>
      <c r="F16" s="28" t="n">
        <v>2022</v>
      </c>
      <c r="G16" s="15" t="s">
        <v>38</v>
      </c>
      <c r="H16" s="15" t="s">
        <v>38</v>
      </c>
      <c r="I16" s="15" t="s">
        <v>38</v>
      </c>
      <c r="J16" s="15" t="s">
        <v>38</v>
      </c>
      <c r="K16" s="15" t="s">
        <v>38</v>
      </c>
      <c r="L16" s="15" t="s">
        <v>38</v>
      </c>
      <c r="M16" s="15" t="s">
        <v>38</v>
      </c>
      <c r="N16" s="81" t="s">
        <v>148</v>
      </c>
      <c r="S16" s="73" t="s">
        <v>129</v>
      </c>
    </row>
    <row r="17" customFormat="false" ht="85.5" hidden="true" customHeight="true" outlineLevel="0" collapsed="false">
      <c r="B17" s="80" t="s">
        <v>149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</row>
    <row r="18" customFormat="false" ht="136.5" hidden="false" customHeight="true" outlineLevel="0" collapsed="false">
      <c r="A18" s="15" t="s">
        <v>40</v>
      </c>
      <c r="B18" s="83" t="s">
        <v>150</v>
      </c>
      <c r="C18" s="81" t="s">
        <v>127</v>
      </c>
      <c r="D18" s="28" t="s">
        <v>23</v>
      </c>
      <c r="E18" s="28" t="s">
        <v>44</v>
      </c>
      <c r="F18" s="28" t="n">
        <v>2022</v>
      </c>
      <c r="G18" s="15" t="s">
        <v>38</v>
      </c>
      <c r="H18" s="15" t="n">
        <v>1.5</v>
      </c>
      <c r="I18" s="15" t="s">
        <v>38</v>
      </c>
      <c r="J18" s="15" t="n">
        <v>3.4</v>
      </c>
      <c r="K18" s="84" t="n">
        <v>3</v>
      </c>
      <c r="L18" s="84" t="n">
        <v>3</v>
      </c>
      <c r="M18" s="84" t="n">
        <v>3</v>
      </c>
      <c r="N18" s="81" t="s">
        <v>151</v>
      </c>
      <c r="O18" s="85" t="n">
        <f aca="false">SUM(K18:M18)</f>
        <v>9</v>
      </c>
    </row>
    <row r="19" customFormat="false" ht="34.5" hidden="false" customHeight="true" outlineLevel="0" collapsed="false">
      <c r="A19" s="15" t="s">
        <v>152</v>
      </c>
      <c r="B19" s="80" t="s">
        <v>153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</row>
    <row r="20" customFormat="false" ht="113.25" hidden="false" customHeight="true" outlineLevel="0" collapsed="false">
      <c r="A20" s="15" t="s">
        <v>42</v>
      </c>
      <c r="B20" s="83" t="s">
        <v>154</v>
      </c>
      <c r="C20" s="81" t="s">
        <v>127</v>
      </c>
      <c r="D20" s="28" t="s">
        <v>23</v>
      </c>
      <c r="E20" s="28" t="n">
        <v>3.1</v>
      </c>
      <c r="F20" s="28" t="n">
        <v>2022</v>
      </c>
      <c r="G20" s="15" t="s">
        <v>38</v>
      </c>
      <c r="H20" s="15" t="s">
        <v>38</v>
      </c>
      <c r="I20" s="15" t="n">
        <v>39.3</v>
      </c>
      <c r="J20" s="15" t="n">
        <v>51.7</v>
      </c>
      <c r="K20" s="84" t="n">
        <v>50</v>
      </c>
      <c r="L20" s="84" t="n">
        <v>50</v>
      </c>
      <c r="M20" s="84" t="n">
        <v>50</v>
      </c>
      <c r="N20" s="81" t="s">
        <v>151</v>
      </c>
      <c r="AA20" s="73" t="s">
        <v>129</v>
      </c>
    </row>
    <row r="21" customFormat="false" ht="37.5" hidden="false" customHeight="true" outlineLevel="0" collapsed="false">
      <c r="A21" s="15" t="s">
        <v>155</v>
      </c>
      <c r="B21" s="80" t="s">
        <v>156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</row>
    <row r="22" customFormat="false" ht="183" hidden="true" customHeight="true" outlineLevel="0" collapsed="false">
      <c r="A22" s="15" t="s">
        <v>47</v>
      </c>
      <c r="B22" s="83" t="s">
        <v>157</v>
      </c>
      <c r="C22" s="81" t="s">
        <v>158</v>
      </c>
      <c r="D22" s="28" t="s">
        <v>49</v>
      </c>
      <c r="E22" s="28" t="s">
        <v>44</v>
      </c>
      <c r="F22" s="28" t="n">
        <v>2022</v>
      </c>
      <c r="G22" s="86" t="s">
        <v>44</v>
      </c>
      <c r="H22" s="86" t="s">
        <v>44</v>
      </c>
      <c r="I22" s="86" t="s">
        <v>44</v>
      </c>
      <c r="J22" s="86" t="s">
        <v>44</v>
      </c>
      <c r="K22" s="86" t="s">
        <v>44</v>
      </c>
      <c r="L22" s="86" t="s">
        <v>44</v>
      </c>
      <c r="M22" s="86" t="s">
        <v>44</v>
      </c>
      <c r="N22" s="81" t="s">
        <v>159</v>
      </c>
    </row>
    <row r="23" customFormat="false" ht="35.25" hidden="true" customHeight="true" outlineLevel="0" collapsed="false">
      <c r="A23" s="15" t="s">
        <v>160</v>
      </c>
      <c r="B23" s="80" t="s">
        <v>161</v>
      </c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</row>
    <row r="24" customFormat="false" ht="126.75" hidden="false" customHeight="true" outlineLevel="0" collapsed="false">
      <c r="A24" s="15" t="s">
        <v>45</v>
      </c>
      <c r="B24" s="83" t="s">
        <v>162</v>
      </c>
      <c r="C24" s="81" t="s">
        <v>127</v>
      </c>
      <c r="D24" s="15" t="s">
        <v>142</v>
      </c>
      <c r="E24" s="15" t="n">
        <v>10</v>
      </c>
      <c r="F24" s="28" t="n">
        <v>2022</v>
      </c>
      <c r="G24" s="15" t="n">
        <v>10</v>
      </c>
      <c r="H24" s="15" t="n">
        <v>10</v>
      </c>
      <c r="I24" s="15" t="n">
        <v>10</v>
      </c>
      <c r="J24" s="15" t="n">
        <v>10</v>
      </c>
      <c r="K24" s="15" t="n">
        <v>10</v>
      </c>
      <c r="L24" s="15" t="n">
        <v>10</v>
      </c>
      <c r="M24" s="15" t="n">
        <v>10</v>
      </c>
      <c r="N24" s="81" t="s">
        <v>163</v>
      </c>
      <c r="O24" s="87"/>
      <c r="P24" s="87"/>
      <c r="Q24" s="87"/>
    </row>
    <row r="25" customFormat="false" ht="30.75" hidden="false" customHeight="true" outlineLevel="0" collapsed="false">
      <c r="A25" s="15" t="s">
        <v>164</v>
      </c>
      <c r="B25" s="80" t="s">
        <v>165</v>
      </c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70"/>
      <c r="P25" s="70"/>
      <c r="Q25" s="87"/>
    </row>
    <row r="26" customFormat="false" ht="15" hidden="false" customHeight="false" outlineLevel="0" collapsed="false">
      <c r="O26" s="87"/>
      <c r="P26" s="87"/>
      <c r="Q26" s="87"/>
    </row>
    <row r="33" customFormat="false" ht="15" hidden="false" customHeight="false" outlineLevel="0" collapsed="false">
      <c r="X33" s="73" t="s">
        <v>53</v>
      </c>
    </row>
  </sheetData>
  <mergeCells count="18">
    <mergeCell ref="A2:N2"/>
    <mergeCell ref="A4:A5"/>
    <mergeCell ref="B4:B5"/>
    <mergeCell ref="C4:C5"/>
    <mergeCell ref="D4:D5"/>
    <mergeCell ref="E4:F4"/>
    <mergeCell ref="G4:M4"/>
    <mergeCell ref="N4:N5"/>
    <mergeCell ref="B7:N7"/>
    <mergeCell ref="B9:N9"/>
    <mergeCell ref="B11:N11"/>
    <mergeCell ref="B13:N13"/>
    <mergeCell ref="B15:N15"/>
    <mergeCell ref="B17:N17"/>
    <mergeCell ref="B19:N19"/>
    <mergeCell ref="B21:N21"/>
    <mergeCell ref="B23:N23"/>
    <mergeCell ref="B25:N25"/>
  </mergeCells>
  <printOptions headings="false" gridLines="false" gridLinesSet="true" horizontalCentered="true" verticalCentered="false"/>
  <pageMargins left="0.39375" right="0.590277777777778" top="0.590972222222222" bottom="0.590277777777778" header="0.315277777777778" footer="0.511811023622047"/>
  <pageSetup paperSize="9" scale="65" fitToWidth="1" fitToHeight="1" pageOrder="downThenOver" orientation="landscape" blackAndWhite="false" draft="false" cellComments="none" firstPageNumber="39" useFirstPageNumber="true" horizontalDpi="300" verticalDpi="300" copies="1"/>
  <headerFooter differentFirst="false" differentOddEven="false">
    <oddHeader>&amp;C&amp;P</oddHeader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true"/>
  </sheetPr>
  <dimension ref="A1:X154"/>
  <sheetViews>
    <sheetView showFormulas="false" showGridLines="true" showRowColHeaders="true" showZeros="true" rightToLeft="false" tabSelected="true" showOutlineSymbols="true" defaultGridColor="true" view="pageBreakPreview" topLeftCell="A1" colorId="64" zoomScale="80" zoomScaleNormal="90" zoomScalePageLayoutView="80" workbookViewId="0">
      <pane xSplit="3" ySplit="45" topLeftCell="D46" activePane="bottomRight" state="frozen"/>
      <selection pane="topLeft" activeCell="A1" activeCellId="0" sqref="A1"/>
      <selection pane="topRight" activeCell="D1" activeCellId="0" sqref="D1"/>
      <selection pane="bottomLeft" activeCell="A46" activeCellId="0" sqref="A46"/>
      <selection pane="bottomRight" activeCell="T64" activeCellId="0" sqref="T64"/>
    </sheetView>
  </sheetViews>
  <sheetFormatPr defaultColWidth="9.1484375" defaultRowHeight="15" zeroHeight="false" outlineLevelRow="0" outlineLevelCol="0"/>
  <cols>
    <col collapsed="false" customWidth="true" hidden="false" outlineLevel="0" max="1" min="1" style="73" width="7.71"/>
    <col collapsed="false" customWidth="true" hidden="true" outlineLevel="0" max="2" min="2" style="73" width="37.15"/>
    <col collapsed="false" customWidth="true" hidden="false" outlineLevel="0" max="3" min="3" style="73" width="64.43"/>
    <col collapsed="false" customWidth="true" hidden="false" outlineLevel="0" max="4" min="4" style="73" width="6"/>
    <col collapsed="false" customWidth="true" hidden="false" outlineLevel="0" max="5" min="5" style="73" width="8.42"/>
    <col collapsed="false" customWidth="true" hidden="false" outlineLevel="0" max="6" min="6" style="73" width="15.82"/>
    <col collapsed="false" customWidth="true" hidden="false" outlineLevel="0" max="7" min="7" style="73" width="5.71"/>
    <col collapsed="false" customWidth="true" hidden="false" outlineLevel="0" max="8" min="8" style="73" width="13.03"/>
    <col collapsed="false" customWidth="true" hidden="false" outlineLevel="0" max="9" min="9" style="73" width="12.29"/>
    <col collapsed="false" customWidth="true" hidden="false" outlineLevel="0" max="10" min="10" style="73" width="13.15"/>
    <col collapsed="false" customWidth="true" hidden="false" outlineLevel="0" max="11" min="11" style="73" width="12.71"/>
    <col collapsed="false" customWidth="true" hidden="false" outlineLevel="0" max="12" min="12" style="73" width="12.15"/>
    <col collapsed="false" customWidth="true" hidden="false" outlineLevel="0" max="13" min="13" style="73" width="13"/>
    <col collapsed="false" customWidth="true" hidden="false" outlineLevel="0" max="14" min="14" style="73" width="13.15"/>
    <col collapsed="false" customWidth="true" hidden="false" outlineLevel="0" max="15" min="15" style="73" width="15.12"/>
    <col collapsed="false" customWidth="true" hidden="false" outlineLevel="0" max="16" min="16" style="73" width="12.42"/>
    <col collapsed="false" customWidth="true" hidden="false" outlineLevel="0" max="17" min="17" style="73" width="13.86"/>
    <col collapsed="false" customWidth="false" hidden="false" outlineLevel="0" max="18" min="18" style="73" width="9.14"/>
    <col collapsed="false" customWidth="true" hidden="false" outlineLevel="0" max="20" min="19" style="73" width="11.43"/>
    <col collapsed="false" customWidth="true" hidden="false" outlineLevel="0" max="21" min="21" style="73" width="12.42"/>
    <col collapsed="false" customWidth="true" hidden="false" outlineLevel="0" max="22" min="22" style="73" width="11.43"/>
    <col collapsed="false" customWidth="true" hidden="false" outlineLevel="0" max="23" min="23" style="73" width="12.42"/>
    <col collapsed="false" customWidth="true" hidden="false" outlineLevel="0" max="24" min="24" style="73" width="11.43"/>
    <col collapsed="false" customWidth="false" hidden="false" outlineLevel="0" max="16384" min="25" style="73" width="9.14"/>
  </cols>
  <sheetData>
    <row r="1" s="34" customFormat="true" ht="15.75" hidden="false" customHeight="false" outlineLevel="0" collapsed="false">
      <c r="A1" s="2" t="str">
        <f aca="false">HYPERLINK("#Оглавление!A1","Назад в оглавление")</f>
        <v>Назад в оглавление</v>
      </c>
    </row>
    <row r="2" customFormat="false" ht="18.75" hidden="false" customHeight="false" outlineLevel="0" collapsed="false">
      <c r="A2" s="37" t="s">
        <v>166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9"/>
      <c r="Q2" s="9"/>
      <c r="R2" s="9"/>
      <c r="S2" s="9"/>
    </row>
    <row r="3" customFormat="false" ht="21.75" hidden="true" customHeight="true" outlineLevel="0" collapsed="false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9"/>
      <c r="Q3" s="9"/>
      <c r="R3" s="9"/>
      <c r="S3" s="9"/>
    </row>
    <row r="4" customFormat="false" ht="25.5" hidden="true" customHeight="true" outlineLevel="0" collapsed="false">
      <c r="A4" s="89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1" t="s">
        <v>167</v>
      </c>
    </row>
    <row r="5" customFormat="false" ht="24" hidden="true" customHeight="true" outlineLevel="0" collapsed="false">
      <c r="A5" s="15" t="s">
        <v>4</v>
      </c>
      <c r="B5" s="15" t="s">
        <v>121</v>
      </c>
      <c r="C5" s="15" t="s">
        <v>168</v>
      </c>
      <c r="D5" s="15" t="s">
        <v>169</v>
      </c>
      <c r="E5" s="15"/>
      <c r="F5" s="15"/>
      <c r="G5" s="15"/>
      <c r="H5" s="15" t="s">
        <v>170</v>
      </c>
      <c r="I5" s="15"/>
      <c r="J5" s="15"/>
      <c r="K5" s="15"/>
      <c r="L5" s="15"/>
      <c r="M5" s="15"/>
      <c r="N5" s="15"/>
      <c r="O5" s="15"/>
    </row>
    <row r="6" customFormat="false" ht="24.75" hidden="true" customHeight="true" outlineLevel="0" collapsed="false">
      <c r="A6" s="15"/>
      <c r="B6" s="15"/>
      <c r="C6" s="15"/>
      <c r="D6" s="92" t="s">
        <v>171</v>
      </c>
      <c r="E6" s="92"/>
      <c r="F6" s="92"/>
      <c r="G6" s="92"/>
      <c r="H6" s="15" t="n">
        <v>2024</v>
      </c>
      <c r="I6" s="15" t="n">
        <v>2025</v>
      </c>
      <c r="J6" s="15" t="n">
        <v>2026</v>
      </c>
      <c r="K6" s="15" t="n">
        <v>2027</v>
      </c>
      <c r="L6" s="15" t="n">
        <v>2028</v>
      </c>
      <c r="M6" s="15" t="n">
        <v>2029</v>
      </c>
      <c r="N6" s="15" t="n">
        <v>2030</v>
      </c>
      <c r="O6" s="15" t="s">
        <v>172</v>
      </c>
    </row>
    <row r="7" customFormat="false" ht="20.25" hidden="true" customHeight="true" outlineLevel="0" collapsed="false">
      <c r="A7" s="15" t="n">
        <v>1</v>
      </c>
      <c r="B7" s="15" t="n">
        <v>2</v>
      </c>
      <c r="C7" s="15" t="n">
        <v>3</v>
      </c>
      <c r="D7" s="15"/>
      <c r="E7" s="15"/>
      <c r="F7" s="15"/>
      <c r="G7" s="15"/>
      <c r="H7" s="15" t="n">
        <v>4</v>
      </c>
      <c r="I7" s="15" t="n">
        <v>5</v>
      </c>
      <c r="J7" s="15" t="n">
        <v>6</v>
      </c>
      <c r="K7" s="15" t="n">
        <v>7</v>
      </c>
      <c r="L7" s="15" t="n">
        <v>8</v>
      </c>
      <c r="M7" s="15" t="n">
        <v>9</v>
      </c>
      <c r="N7" s="93" t="n">
        <v>10</v>
      </c>
      <c r="O7" s="15" t="n">
        <v>11</v>
      </c>
    </row>
    <row r="8" customFormat="false" ht="24" hidden="true" customHeight="true" outlineLevel="0" collapsed="false">
      <c r="A8" s="15"/>
      <c r="B8" s="80" t="s">
        <v>173</v>
      </c>
      <c r="C8" s="94" t="s">
        <v>174</v>
      </c>
      <c r="D8" s="94"/>
      <c r="E8" s="94"/>
      <c r="F8" s="94"/>
      <c r="G8" s="94"/>
      <c r="H8" s="82" t="n">
        <f aca="false">H12+H17+H20+H24+H27+H31+H34+H38</f>
        <v>6728563</v>
      </c>
      <c r="I8" s="82" t="n">
        <f aca="false">I12+I17+I20+I24+I27+I31+I34+I38+I37</f>
        <v>9278754.2</v>
      </c>
      <c r="J8" s="82" t="n">
        <f aca="false">J12+J17+J20+J24+J27+J31+J34+J38</f>
        <v>12005706.5</v>
      </c>
      <c r="K8" s="82" t="n">
        <f aca="false">K12+K17+K20+K24+K27+K31+K34+K38</f>
        <v>11605000</v>
      </c>
      <c r="L8" s="82" t="n">
        <f aca="false">L12+L17+L20+L24+L27+L31+L34+L38</f>
        <v>12105000</v>
      </c>
      <c r="M8" s="82" t="n">
        <f aca="false">M12+M17+M20+M24+M27+M31+M34+M38</f>
        <v>12405000</v>
      </c>
      <c r="N8" s="95" t="n">
        <f aca="false">N12+N17+N20+N24+N27+N31+N34+N38</f>
        <v>12705000</v>
      </c>
      <c r="O8" s="82" t="n">
        <f aca="false">SUM(H8:N8)</f>
        <v>76833023.7</v>
      </c>
      <c r="S8" s="96" t="n">
        <f aca="false">I10-I8</f>
        <v>0</v>
      </c>
    </row>
    <row r="9" customFormat="false" ht="28.5" hidden="true" customHeight="true" outlineLevel="0" collapsed="false">
      <c r="A9" s="15"/>
      <c r="B9" s="80"/>
      <c r="C9" s="94" t="s">
        <v>175</v>
      </c>
      <c r="D9" s="94"/>
      <c r="E9" s="94"/>
      <c r="F9" s="94"/>
      <c r="G9" s="94"/>
      <c r="H9" s="82" t="n">
        <f aca="false">H13+H18+H25+H32</f>
        <v>0</v>
      </c>
      <c r="I9" s="82" t="n">
        <f aca="false">I13+I18+I25+I32</f>
        <v>0</v>
      </c>
      <c r="J9" s="82" t="n">
        <f aca="false">J13+J18+J25+J32</f>
        <v>0</v>
      </c>
      <c r="K9" s="82" t="n">
        <f aca="false">K13+K18+K25+K32</f>
        <v>0</v>
      </c>
      <c r="L9" s="82" t="n">
        <f aca="false">L13+L18+L25+L32</f>
        <v>0</v>
      </c>
      <c r="M9" s="82" t="n">
        <f aca="false">M13+M18+M25+M32</f>
        <v>0</v>
      </c>
      <c r="N9" s="95" t="n">
        <f aca="false">N13+N18+N25+N32</f>
        <v>0</v>
      </c>
      <c r="O9" s="82" t="n">
        <f aca="false">SUM(H9:N9)</f>
        <v>0</v>
      </c>
    </row>
    <row r="10" customFormat="false" ht="24" hidden="true" customHeight="true" outlineLevel="0" collapsed="false">
      <c r="A10" s="15"/>
      <c r="B10" s="80"/>
      <c r="C10" s="94" t="s">
        <v>176</v>
      </c>
      <c r="D10" s="94"/>
      <c r="E10" s="94"/>
      <c r="F10" s="94"/>
      <c r="G10" s="94"/>
      <c r="H10" s="82" t="n">
        <f aca="false">H12+H19+H22+H26+H29+H33+H35+H39</f>
        <v>6635000.5</v>
      </c>
      <c r="I10" s="82" t="n">
        <f aca="false">I12+I19+I22+I26+I29+I33+I35+I39+I37</f>
        <v>9278754.2</v>
      </c>
      <c r="J10" s="82" t="n">
        <f aca="false">J12+J19+J22+J26+J29+J33+J35+J39</f>
        <v>12005706.5</v>
      </c>
      <c r="K10" s="82" t="n">
        <f aca="false">K12+K19+K22+K26+K29+K33+K35+K39</f>
        <v>11605000</v>
      </c>
      <c r="L10" s="82" t="n">
        <f aca="false">L12+L19+L22+L26+L29+L33+L35+L39</f>
        <v>12105000</v>
      </c>
      <c r="M10" s="82" t="n">
        <f aca="false">M12+M19+M22+M26+M29+M33+M35+M39</f>
        <v>12405000</v>
      </c>
      <c r="N10" s="95" t="n">
        <f aca="false">N12+N19+N22+N26+N29+N33+N35+N39</f>
        <v>12705000</v>
      </c>
      <c r="O10" s="82" t="n">
        <f aca="false">SUM(H10:N10)</f>
        <v>76739461.2</v>
      </c>
    </row>
    <row r="11" customFormat="false" ht="36" hidden="true" customHeight="true" outlineLevel="0" collapsed="false">
      <c r="A11" s="15"/>
      <c r="B11" s="80"/>
      <c r="C11" s="94" t="s">
        <v>177</v>
      </c>
      <c r="D11" s="94"/>
      <c r="E11" s="94"/>
      <c r="F11" s="94"/>
      <c r="G11" s="94"/>
      <c r="H11" s="82" t="n">
        <f aca="false">H23+H30</f>
        <v>93562.5</v>
      </c>
      <c r="I11" s="82" t="n">
        <f aca="false">I23+I30</f>
        <v>0</v>
      </c>
      <c r="J11" s="82" t="n">
        <f aca="false">J23+J30</f>
        <v>0</v>
      </c>
      <c r="K11" s="82" t="n">
        <f aca="false">K23+K30</f>
        <v>0</v>
      </c>
      <c r="L11" s="82" t="n">
        <f aca="false">L23+L30</f>
        <v>0</v>
      </c>
      <c r="M11" s="82" t="n">
        <f aca="false">M23+M30</f>
        <v>0</v>
      </c>
      <c r="N11" s="95" t="n">
        <f aca="false">N23+N30</f>
        <v>0</v>
      </c>
      <c r="O11" s="82" t="n">
        <f aca="false">SUM(H11:N11)</f>
        <v>93562.5</v>
      </c>
    </row>
    <row r="12" customFormat="false" ht="24" hidden="true" customHeight="true" outlineLevel="0" collapsed="false">
      <c r="A12" s="15" t="s">
        <v>17</v>
      </c>
      <c r="B12" s="97" t="s">
        <v>126</v>
      </c>
      <c r="C12" s="94" t="s">
        <v>174</v>
      </c>
      <c r="D12" s="94"/>
      <c r="E12" s="94"/>
      <c r="F12" s="94"/>
      <c r="G12" s="94"/>
      <c r="H12" s="82" t="n">
        <f aca="false">SUM(H14:H16)</f>
        <v>4004310</v>
      </c>
      <c r="I12" s="82" t="n">
        <f aca="false">SUM(I14:I16)</f>
        <v>4174000</v>
      </c>
      <c r="J12" s="82" t="n">
        <f aca="false">SUM(J14:J16)</f>
        <v>4300000</v>
      </c>
      <c r="K12" s="82" t="n">
        <f aca="false">SUM(K14:K16)</f>
        <v>4400000</v>
      </c>
      <c r="L12" s="82" t="n">
        <f aca="false">SUM(L14:L16)</f>
        <v>4600000</v>
      </c>
      <c r="M12" s="82" t="n">
        <f aca="false">SUM(M14:M16)</f>
        <v>4800000</v>
      </c>
      <c r="N12" s="95" t="n">
        <f aca="false">SUM(N14:N16)</f>
        <v>5000000</v>
      </c>
      <c r="O12" s="82" t="n">
        <f aca="false">SUM(H12:N12)</f>
        <v>31278310</v>
      </c>
    </row>
    <row r="13" customFormat="false" ht="24" hidden="true" customHeight="true" outlineLevel="0" collapsed="false">
      <c r="A13" s="15" t="s">
        <v>19</v>
      </c>
      <c r="B13" s="97"/>
      <c r="C13" s="94" t="s">
        <v>175</v>
      </c>
      <c r="D13" s="94"/>
      <c r="E13" s="94"/>
      <c r="F13" s="94"/>
      <c r="G13" s="94"/>
      <c r="H13" s="15"/>
      <c r="I13" s="93"/>
      <c r="J13" s="15"/>
      <c r="K13" s="15"/>
      <c r="L13" s="15"/>
      <c r="M13" s="15"/>
      <c r="N13" s="93"/>
      <c r="O13" s="15" t="n">
        <f aca="false">SUM(H13:N13)</f>
        <v>0</v>
      </c>
    </row>
    <row r="14" customFormat="false" ht="23.25" hidden="true" customHeight="true" outlineLevel="0" collapsed="false">
      <c r="A14" s="92" t="s">
        <v>19</v>
      </c>
      <c r="B14" s="97"/>
      <c r="C14" s="94" t="s">
        <v>176</v>
      </c>
      <c r="D14" s="98" t="n">
        <v>828</v>
      </c>
      <c r="E14" s="98" t="s">
        <v>178</v>
      </c>
      <c r="F14" s="98" t="s">
        <v>179</v>
      </c>
      <c r="G14" s="98" t="n">
        <v>200</v>
      </c>
      <c r="H14" s="99" t="n">
        <f aca="false">4004310-H15-H16</f>
        <v>3843964.8</v>
      </c>
      <c r="I14" s="99" t="n">
        <f aca="false">4200000-I15-I16-26000</f>
        <v>4008893.6</v>
      </c>
      <c r="J14" s="99" t="n">
        <f aca="false">4300000-J15-J16</f>
        <v>4130098.6</v>
      </c>
      <c r="K14" s="99" t="n">
        <f aca="false">4400000-K15-K16</f>
        <v>4207842.6</v>
      </c>
      <c r="L14" s="99" t="n">
        <f aca="false">4600000-L15-L16</f>
        <v>4407842.6</v>
      </c>
      <c r="M14" s="99" t="n">
        <f aca="false">4800000-M15-M16</f>
        <v>4607842.6</v>
      </c>
      <c r="N14" s="100" t="n">
        <f aca="false">5000000-N15-N16</f>
        <v>4807842.6</v>
      </c>
      <c r="O14" s="82" t="n">
        <f aca="false">SUM(H14:N14)</f>
        <v>30014327.4</v>
      </c>
    </row>
    <row r="15" customFormat="false" ht="23.25" hidden="true" customHeight="true" outlineLevel="0" collapsed="false">
      <c r="A15" s="92"/>
      <c r="B15" s="97"/>
      <c r="C15" s="94" t="s">
        <v>176</v>
      </c>
      <c r="D15" s="98" t="n">
        <v>828</v>
      </c>
      <c r="E15" s="98" t="s">
        <v>178</v>
      </c>
      <c r="F15" s="98" t="s">
        <v>179</v>
      </c>
      <c r="G15" s="98" t="n">
        <v>800</v>
      </c>
      <c r="H15" s="99" t="n">
        <v>5000</v>
      </c>
      <c r="I15" s="100" t="n">
        <v>5000</v>
      </c>
      <c r="J15" s="100" t="n">
        <v>5000</v>
      </c>
      <c r="K15" s="100" t="n">
        <v>5000</v>
      </c>
      <c r="L15" s="100" t="n">
        <v>5000</v>
      </c>
      <c r="M15" s="100" t="n">
        <v>5000</v>
      </c>
      <c r="N15" s="100" t="n">
        <v>5000</v>
      </c>
      <c r="O15" s="82" t="n">
        <f aca="false">SUM(H15:N15)</f>
        <v>35000</v>
      </c>
    </row>
    <row r="16" customFormat="false" ht="29.25" hidden="true" customHeight="true" outlineLevel="0" collapsed="false">
      <c r="A16" s="92"/>
      <c r="B16" s="97"/>
      <c r="C16" s="26" t="s">
        <v>180</v>
      </c>
      <c r="D16" s="98" t="n">
        <v>828</v>
      </c>
      <c r="E16" s="98" t="s">
        <v>178</v>
      </c>
      <c r="F16" s="98" t="s">
        <v>181</v>
      </c>
      <c r="G16" s="98" t="n">
        <v>200</v>
      </c>
      <c r="H16" s="100" t="n">
        <f aca="false">22404.4+132940.8</f>
        <v>155345.2</v>
      </c>
      <c r="I16" s="100" t="n">
        <f aca="false">22404.4+137702</f>
        <v>160106.4</v>
      </c>
      <c r="J16" s="100" t="n">
        <f aca="false">22404.4+142497</f>
        <v>164901.4</v>
      </c>
      <c r="K16" s="100" t="n">
        <f aca="false">22404.4+164753</f>
        <v>187157.4</v>
      </c>
      <c r="L16" s="100" t="n">
        <f aca="false">22404.4+164753</f>
        <v>187157.4</v>
      </c>
      <c r="M16" s="100" t="n">
        <f aca="false">22404.4+164753</f>
        <v>187157.4</v>
      </c>
      <c r="N16" s="100" t="n">
        <f aca="false">22404.4+164753</f>
        <v>187157.4</v>
      </c>
      <c r="O16" s="82" t="n">
        <f aca="false">SUM(H16:N16)</f>
        <v>1228982.6</v>
      </c>
    </row>
    <row r="17" customFormat="false" ht="32.25" hidden="true" customHeight="true" outlineLevel="0" collapsed="false">
      <c r="A17" s="15" t="n">
        <v>2</v>
      </c>
      <c r="B17" s="80" t="s">
        <v>132</v>
      </c>
      <c r="C17" s="94" t="s">
        <v>174</v>
      </c>
      <c r="D17" s="94"/>
      <c r="E17" s="94"/>
      <c r="F17" s="94"/>
      <c r="G17" s="94"/>
      <c r="H17" s="82" t="n">
        <f aca="false">SUM(H18:H19)</f>
        <v>1028864.4</v>
      </c>
      <c r="I17" s="95" t="n">
        <f aca="false">SUM(I18:I19)</f>
        <v>4901932.4</v>
      </c>
      <c r="J17" s="82" t="n">
        <f aca="false">SUM(J18:J19)</f>
        <v>7600706.5</v>
      </c>
      <c r="K17" s="82" t="n">
        <f aca="false">SUM(K18:K19)</f>
        <v>7000000</v>
      </c>
      <c r="L17" s="82" t="n">
        <f aca="false">SUM(L18:L19)</f>
        <v>7100000</v>
      </c>
      <c r="M17" s="82" t="n">
        <f aca="false">SUM(M18:M19)</f>
        <v>7200000</v>
      </c>
      <c r="N17" s="95" t="n">
        <f aca="false">SUM(N18:N19)</f>
        <v>7300000</v>
      </c>
      <c r="O17" s="82" t="n">
        <f aca="false">SUM(O18:O19)</f>
        <v>42131503.3</v>
      </c>
    </row>
    <row r="18" customFormat="false" ht="23.25" hidden="true" customHeight="true" outlineLevel="0" collapsed="false">
      <c r="A18" s="15" t="s">
        <v>182</v>
      </c>
      <c r="B18" s="80"/>
      <c r="C18" s="94" t="s">
        <v>175</v>
      </c>
      <c r="D18" s="94"/>
      <c r="E18" s="94"/>
      <c r="F18" s="94"/>
      <c r="G18" s="94"/>
      <c r="H18" s="15"/>
      <c r="I18" s="93"/>
      <c r="J18" s="15"/>
      <c r="K18" s="15"/>
      <c r="L18" s="15"/>
      <c r="M18" s="15"/>
      <c r="N18" s="93"/>
      <c r="O18" s="84" t="n">
        <f aca="false">SUM(H18:N18)</f>
        <v>0</v>
      </c>
    </row>
    <row r="19" customFormat="false" ht="27.75" hidden="true" customHeight="true" outlineLevel="0" collapsed="false">
      <c r="A19" s="15" t="s">
        <v>182</v>
      </c>
      <c r="B19" s="80"/>
      <c r="C19" s="94" t="s">
        <v>176</v>
      </c>
      <c r="D19" s="98" t="n">
        <v>828</v>
      </c>
      <c r="E19" s="98" t="s">
        <v>178</v>
      </c>
      <c r="F19" s="98" t="s">
        <v>179</v>
      </c>
      <c r="G19" s="98" t="n">
        <v>200</v>
      </c>
      <c r="H19" s="82" t="n">
        <v>1028864.4</v>
      </c>
      <c r="I19" s="100" t="n">
        <f aca="false">5073344.3-873.9-169908-630</f>
        <v>4901932.4</v>
      </c>
      <c r="J19" s="99" t="n">
        <f aca="false">6406952+1193754.5</f>
        <v>7600706.5</v>
      </c>
      <c r="K19" s="99" t="n">
        <v>7000000</v>
      </c>
      <c r="L19" s="99" t="n">
        <v>7100000</v>
      </c>
      <c r="M19" s="99" t="n">
        <v>7200000</v>
      </c>
      <c r="N19" s="99" t="n">
        <v>7300000</v>
      </c>
      <c r="O19" s="82" t="n">
        <f aca="false">SUM(H19:N19)</f>
        <v>42131503.3</v>
      </c>
    </row>
    <row r="20" customFormat="false" ht="21.75" hidden="true" customHeight="true" outlineLevel="0" collapsed="false">
      <c r="A20" s="15" t="s">
        <v>183</v>
      </c>
      <c r="B20" s="80" t="s">
        <v>136</v>
      </c>
      <c r="C20" s="94" t="s">
        <v>174</v>
      </c>
      <c r="D20" s="94"/>
      <c r="E20" s="94"/>
      <c r="F20" s="94"/>
      <c r="G20" s="94"/>
      <c r="H20" s="82" t="n">
        <f aca="false">SUM(H21:H23)</f>
        <v>1502852</v>
      </c>
      <c r="I20" s="82" t="n">
        <f aca="false">SUM(I21:I23)</f>
        <v>0</v>
      </c>
      <c r="J20" s="82" t="n">
        <f aca="false">SUM(J21:J23)</f>
        <v>0</v>
      </c>
      <c r="K20" s="82" t="n">
        <f aca="false">SUM(K21:K23)</f>
        <v>0</v>
      </c>
      <c r="L20" s="82" t="n">
        <f aca="false">SUM(L21:L23)</f>
        <v>0</v>
      </c>
      <c r="M20" s="82" t="n">
        <f aca="false">SUM(M21:M23)</f>
        <v>0</v>
      </c>
      <c r="N20" s="95" t="n">
        <f aca="false">SUM(N21:N23)</f>
        <v>0</v>
      </c>
      <c r="O20" s="82" t="n">
        <f aca="false">SUM(O21:O23)</f>
        <v>1502852</v>
      </c>
      <c r="P20" s="101"/>
      <c r="Q20" s="101"/>
      <c r="R20" s="101"/>
      <c r="S20" s="101"/>
      <c r="T20" s="101"/>
      <c r="U20" s="101"/>
      <c r="V20" s="101"/>
      <c r="W20" s="87"/>
      <c r="X20" s="87"/>
    </row>
    <row r="21" customFormat="false" ht="22.5" hidden="true" customHeight="true" outlineLevel="0" collapsed="false">
      <c r="A21" s="15" t="s">
        <v>184</v>
      </c>
      <c r="B21" s="80"/>
      <c r="C21" s="94" t="s">
        <v>175</v>
      </c>
      <c r="D21" s="94"/>
      <c r="E21" s="94"/>
      <c r="F21" s="94"/>
      <c r="G21" s="94"/>
      <c r="H21" s="15"/>
      <c r="I21" s="15"/>
      <c r="J21" s="15"/>
      <c r="K21" s="15"/>
      <c r="L21" s="15"/>
      <c r="M21" s="15"/>
      <c r="N21" s="93"/>
      <c r="O21" s="84" t="n">
        <f aca="false">SUM(H21:N21)</f>
        <v>0</v>
      </c>
      <c r="P21" s="87"/>
      <c r="Q21" s="87"/>
      <c r="R21" s="87"/>
      <c r="S21" s="87"/>
      <c r="T21" s="87"/>
      <c r="U21" s="87"/>
      <c r="V21" s="87"/>
      <c r="W21" s="87"/>
      <c r="X21" s="87"/>
    </row>
    <row r="22" customFormat="false" ht="24" hidden="true" customHeight="true" outlineLevel="0" collapsed="false">
      <c r="A22" s="15" t="s">
        <v>184</v>
      </c>
      <c r="B22" s="80"/>
      <c r="C22" s="94" t="s">
        <v>176</v>
      </c>
      <c r="D22" s="98" t="n">
        <v>828</v>
      </c>
      <c r="E22" s="98" t="s">
        <v>178</v>
      </c>
      <c r="F22" s="98" t="s">
        <v>185</v>
      </c>
      <c r="G22" s="102" t="n">
        <v>500</v>
      </c>
      <c r="H22" s="99" t="n">
        <f aca="false">1452289.5-H29</f>
        <v>1411869.5</v>
      </c>
      <c r="I22" s="15"/>
      <c r="J22" s="99"/>
      <c r="K22" s="99"/>
      <c r="L22" s="99"/>
      <c r="M22" s="99"/>
      <c r="N22" s="100"/>
      <c r="O22" s="82" t="n">
        <f aca="false">SUM(H22:N22)</f>
        <v>1411869.5</v>
      </c>
      <c r="P22" s="87"/>
      <c r="Q22" s="87"/>
      <c r="R22" s="87"/>
      <c r="S22" s="87"/>
      <c r="T22" s="87"/>
      <c r="U22" s="87"/>
      <c r="V22" s="87"/>
      <c r="W22" s="87"/>
      <c r="X22" s="87"/>
    </row>
    <row r="23" customFormat="false" ht="33.75" hidden="true" customHeight="true" outlineLevel="0" collapsed="false">
      <c r="A23" s="15" t="s">
        <v>186</v>
      </c>
      <c r="B23" s="80"/>
      <c r="C23" s="94" t="s">
        <v>177</v>
      </c>
      <c r="D23" s="94"/>
      <c r="E23" s="94"/>
      <c r="F23" s="94"/>
      <c r="G23" s="94"/>
      <c r="H23" s="99" t="n">
        <f aca="false">93562.5-H30</f>
        <v>90982.5</v>
      </c>
      <c r="I23" s="15"/>
      <c r="J23" s="99"/>
      <c r="K23" s="99"/>
      <c r="L23" s="99"/>
      <c r="M23" s="99"/>
      <c r="N23" s="100"/>
      <c r="O23" s="82" t="n">
        <f aca="false">SUM(H23:N23)</f>
        <v>90982.5</v>
      </c>
      <c r="P23" s="87"/>
      <c r="Q23" s="87"/>
      <c r="R23" s="87"/>
      <c r="S23" s="87"/>
      <c r="T23" s="87"/>
      <c r="U23" s="87"/>
      <c r="V23" s="87"/>
      <c r="W23" s="87"/>
      <c r="X23" s="87"/>
    </row>
    <row r="24" customFormat="false" ht="23.25" hidden="true" customHeight="true" outlineLevel="0" collapsed="false">
      <c r="A24" s="15" t="s">
        <v>187</v>
      </c>
      <c r="B24" s="80" t="s">
        <v>188</v>
      </c>
      <c r="C24" s="94" t="s">
        <v>174</v>
      </c>
      <c r="D24" s="94"/>
      <c r="E24" s="94"/>
      <c r="F24" s="94"/>
      <c r="G24" s="94"/>
      <c r="H24" s="82" t="n">
        <f aca="false">SUM(H25:H26)</f>
        <v>0</v>
      </c>
      <c r="I24" s="82" t="n">
        <f aca="false">SUM(I25:I26)</f>
        <v>0</v>
      </c>
      <c r="J24" s="82" t="n">
        <f aca="false">SUM(J25:J26)</f>
        <v>0</v>
      </c>
      <c r="K24" s="82" t="n">
        <f aca="false">SUM(K25:K26)</f>
        <v>100000</v>
      </c>
      <c r="L24" s="82" t="n">
        <f aca="false">SUM(L25:L26)</f>
        <v>100000</v>
      </c>
      <c r="M24" s="82" t="n">
        <f aca="false">SUM(M25:M26)</f>
        <v>100000</v>
      </c>
      <c r="N24" s="95" t="n">
        <f aca="false">SUM(N25:N26)</f>
        <v>100000</v>
      </c>
      <c r="O24" s="82" t="n">
        <f aca="false">SUM(O25:O26)</f>
        <v>400000</v>
      </c>
    </row>
    <row r="25" customFormat="false" ht="26.25" hidden="true" customHeight="true" outlineLevel="0" collapsed="false">
      <c r="A25" s="15" t="s">
        <v>189</v>
      </c>
      <c r="B25" s="80"/>
      <c r="C25" s="94" t="s">
        <v>175</v>
      </c>
      <c r="D25" s="94"/>
      <c r="E25" s="94"/>
      <c r="F25" s="94"/>
      <c r="G25" s="94"/>
      <c r="H25" s="15"/>
      <c r="I25" s="15"/>
      <c r="J25" s="15"/>
      <c r="K25" s="15"/>
      <c r="L25" s="15"/>
      <c r="M25" s="15"/>
      <c r="N25" s="93"/>
      <c r="O25" s="82" t="n">
        <f aca="false">SUM(H25:N25)</f>
        <v>0</v>
      </c>
    </row>
    <row r="26" customFormat="false" ht="28.5" hidden="true" customHeight="true" outlineLevel="0" collapsed="false">
      <c r="A26" s="15" t="s">
        <v>189</v>
      </c>
      <c r="B26" s="80"/>
      <c r="C26" s="94" t="s">
        <v>176</v>
      </c>
      <c r="D26" s="98" t="n">
        <v>828</v>
      </c>
      <c r="E26" s="98" t="s">
        <v>178</v>
      </c>
      <c r="F26" s="98" t="s">
        <v>179</v>
      </c>
      <c r="G26" s="98" t="n">
        <v>200</v>
      </c>
      <c r="H26" s="15"/>
      <c r="I26" s="15"/>
      <c r="J26" s="99"/>
      <c r="K26" s="99" t="n">
        <v>100000</v>
      </c>
      <c r="L26" s="99" t="n">
        <v>100000</v>
      </c>
      <c r="M26" s="99" t="n">
        <v>100000</v>
      </c>
      <c r="N26" s="100" t="n">
        <v>100000</v>
      </c>
      <c r="O26" s="82" t="n">
        <f aca="false">SUM(H26:N26)</f>
        <v>400000</v>
      </c>
    </row>
    <row r="27" customFormat="false" ht="35.25" hidden="true" customHeight="true" outlineLevel="0" collapsed="false">
      <c r="A27" s="15" t="s">
        <v>190</v>
      </c>
      <c r="B27" s="80" t="s">
        <v>191</v>
      </c>
      <c r="C27" s="94" t="s">
        <v>174</v>
      </c>
      <c r="D27" s="94"/>
      <c r="E27" s="94"/>
      <c r="F27" s="94"/>
      <c r="G27" s="94"/>
      <c r="H27" s="82" t="n">
        <f aca="false">SUM(H28:H30)</f>
        <v>43000</v>
      </c>
      <c r="I27" s="82" t="n">
        <f aca="false">SUM(I28:I30)</f>
        <v>0</v>
      </c>
      <c r="J27" s="82"/>
      <c r="K27" s="82"/>
      <c r="L27" s="82"/>
      <c r="M27" s="82"/>
      <c r="N27" s="95"/>
      <c r="O27" s="82" t="n">
        <f aca="false">SUM(O28:O30)</f>
        <v>43000</v>
      </c>
    </row>
    <row r="28" customFormat="false" ht="24.75" hidden="true" customHeight="true" outlineLevel="0" collapsed="false">
      <c r="A28" s="15" t="s">
        <v>192</v>
      </c>
      <c r="B28" s="80"/>
      <c r="C28" s="94" t="s">
        <v>175</v>
      </c>
      <c r="D28" s="94"/>
      <c r="E28" s="94"/>
      <c r="F28" s="94"/>
      <c r="G28" s="94"/>
      <c r="H28" s="15"/>
      <c r="I28" s="15"/>
      <c r="J28" s="15"/>
      <c r="K28" s="15"/>
      <c r="L28" s="15"/>
      <c r="M28" s="15"/>
      <c r="N28" s="93"/>
      <c r="O28" s="82" t="n">
        <f aca="false">SUM(H28:N28)</f>
        <v>0</v>
      </c>
    </row>
    <row r="29" customFormat="false" ht="25.5" hidden="true" customHeight="true" outlineLevel="0" collapsed="false">
      <c r="A29" s="15" t="s">
        <v>192</v>
      </c>
      <c r="B29" s="80"/>
      <c r="C29" s="94" t="s">
        <v>176</v>
      </c>
      <c r="D29" s="98" t="n">
        <v>828</v>
      </c>
      <c r="E29" s="98" t="s">
        <v>178</v>
      </c>
      <c r="F29" s="98" t="s">
        <v>185</v>
      </c>
      <c r="G29" s="102" t="n">
        <v>500</v>
      </c>
      <c r="H29" s="99" t="n">
        <f aca="false">43000*0.94</f>
        <v>40420</v>
      </c>
      <c r="I29" s="84" t="n">
        <v>0</v>
      </c>
      <c r="J29" s="99"/>
      <c r="K29" s="99"/>
      <c r="L29" s="99"/>
      <c r="M29" s="99"/>
      <c r="N29" s="100"/>
      <c r="O29" s="82" t="n">
        <f aca="false">SUM(H29:N29)</f>
        <v>40420</v>
      </c>
    </row>
    <row r="30" customFormat="false" ht="35.25" hidden="true" customHeight="true" outlineLevel="0" collapsed="false">
      <c r="A30" s="15" t="s">
        <v>193</v>
      </c>
      <c r="B30" s="80"/>
      <c r="C30" s="94" t="s">
        <v>177</v>
      </c>
      <c r="D30" s="94"/>
      <c r="E30" s="94"/>
      <c r="F30" s="94"/>
      <c r="G30" s="94"/>
      <c r="H30" s="99" t="n">
        <f aca="false">43000-H29</f>
        <v>2580</v>
      </c>
      <c r="I30" s="84" t="n">
        <v>0</v>
      </c>
      <c r="J30" s="99"/>
      <c r="K30" s="99"/>
      <c r="L30" s="99"/>
      <c r="M30" s="99"/>
      <c r="N30" s="100"/>
      <c r="O30" s="82" t="n">
        <f aca="false">SUM(H30:N30)</f>
        <v>2580</v>
      </c>
    </row>
    <row r="31" customFormat="false" ht="28.5" hidden="true" customHeight="true" outlineLevel="0" collapsed="false">
      <c r="A31" s="15" t="s">
        <v>194</v>
      </c>
      <c r="B31" s="80" t="s">
        <v>195</v>
      </c>
      <c r="C31" s="94" t="s">
        <v>174</v>
      </c>
      <c r="D31" s="94"/>
      <c r="E31" s="94"/>
      <c r="F31" s="94"/>
      <c r="G31" s="94"/>
      <c r="H31" s="82" t="n">
        <f aca="false">SUM(H32:H33)</f>
        <v>54842.9</v>
      </c>
      <c r="I31" s="82" t="n">
        <f aca="false">SUM(I32:I33)</f>
        <v>30821.8</v>
      </c>
      <c r="J31" s="82"/>
      <c r="K31" s="82"/>
      <c r="L31" s="82" t="n">
        <f aca="false">SUM(L32:L33)</f>
        <v>200000</v>
      </c>
      <c r="M31" s="82" t="n">
        <f aca="false">SUM(M32:M33)</f>
        <v>200000</v>
      </c>
      <c r="N31" s="95" t="n">
        <f aca="false">SUM(N32:N33)</f>
        <v>200000</v>
      </c>
      <c r="O31" s="82" t="n">
        <f aca="false">SUM(O32:O33)</f>
        <v>685664.7</v>
      </c>
    </row>
    <row r="32" customFormat="false" ht="18.75" hidden="true" customHeight="true" outlineLevel="0" collapsed="false">
      <c r="A32" s="15" t="s">
        <v>196</v>
      </c>
      <c r="B32" s="80"/>
      <c r="C32" s="94" t="s">
        <v>175</v>
      </c>
      <c r="D32" s="94"/>
      <c r="E32" s="94"/>
      <c r="F32" s="94"/>
      <c r="G32" s="94"/>
      <c r="H32" s="82"/>
      <c r="I32" s="15"/>
      <c r="J32" s="15"/>
      <c r="K32" s="15"/>
      <c r="L32" s="15"/>
      <c r="M32" s="15"/>
      <c r="N32" s="93"/>
      <c r="O32" s="82" t="n">
        <f aca="false">SUM(H32:N32)</f>
        <v>0</v>
      </c>
    </row>
    <row r="33" customFormat="false" ht="34.5" hidden="true" customHeight="true" outlineLevel="0" collapsed="false">
      <c r="A33" s="15" t="s">
        <v>196</v>
      </c>
      <c r="B33" s="80"/>
      <c r="C33" s="94" t="s">
        <v>176</v>
      </c>
      <c r="D33" s="98" t="n">
        <v>828</v>
      </c>
      <c r="E33" s="98" t="s">
        <v>178</v>
      </c>
      <c r="F33" s="98" t="s">
        <v>197</v>
      </c>
      <c r="G33" s="98" t="n">
        <v>200</v>
      </c>
      <c r="H33" s="99" t="n">
        <v>54842.9</v>
      </c>
      <c r="I33" s="82" t="n">
        <v>30821.8</v>
      </c>
      <c r="J33" s="99"/>
      <c r="K33" s="99"/>
      <c r="L33" s="99" t="n">
        <v>200000</v>
      </c>
      <c r="M33" s="99" t="n">
        <v>200000</v>
      </c>
      <c r="N33" s="100" t="n">
        <v>200000</v>
      </c>
      <c r="O33" s="82" t="n">
        <f aca="false">SUM(H33:N33)</f>
        <v>685664.7</v>
      </c>
    </row>
    <row r="34" customFormat="false" ht="24.75" hidden="true" customHeight="true" outlineLevel="0" collapsed="false">
      <c r="A34" s="15" t="s">
        <v>198</v>
      </c>
      <c r="B34" s="16" t="s">
        <v>199</v>
      </c>
      <c r="C34" s="94" t="s">
        <v>174</v>
      </c>
      <c r="D34" s="94"/>
      <c r="E34" s="94"/>
      <c r="F34" s="94"/>
      <c r="G34" s="94"/>
      <c r="H34" s="82" t="n">
        <f aca="false">H35</f>
        <v>42536.7</v>
      </c>
      <c r="I34" s="82"/>
      <c r="J34" s="82" t="n">
        <f aca="false">J35</f>
        <v>50000</v>
      </c>
      <c r="K34" s="82" t="n">
        <f aca="false">K35</f>
        <v>50000</v>
      </c>
      <c r="L34" s="82" t="n">
        <f aca="false">L35</f>
        <v>50000</v>
      </c>
      <c r="M34" s="82" t="n">
        <f aca="false">M35</f>
        <v>50000</v>
      </c>
      <c r="N34" s="95" t="n">
        <f aca="false">N35</f>
        <v>50000</v>
      </c>
      <c r="O34" s="82" t="n">
        <f aca="false">O35</f>
        <v>292536.7</v>
      </c>
    </row>
    <row r="35" customFormat="false" ht="27" hidden="true" customHeight="true" outlineLevel="0" collapsed="false">
      <c r="A35" s="15" t="s">
        <v>200</v>
      </c>
      <c r="B35" s="16"/>
      <c r="C35" s="94" t="s">
        <v>176</v>
      </c>
      <c r="D35" s="98" t="n">
        <v>828</v>
      </c>
      <c r="E35" s="98" t="s">
        <v>178</v>
      </c>
      <c r="F35" s="98" t="s">
        <v>197</v>
      </c>
      <c r="G35" s="98" t="n">
        <v>200</v>
      </c>
      <c r="H35" s="99" t="n">
        <f aca="false">42536.7</f>
        <v>42536.7</v>
      </c>
      <c r="I35" s="99"/>
      <c r="J35" s="99" t="n">
        <v>50000</v>
      </c>
      <c r="K35" s="99" t="n">
        <v>50000</v>
      </c>
      <c r="L35" s="99" t="n">
        <v>50000</v>
      </c>
      <c r="M35" s="99" t="n">
        <v>50000</v>
      </c>
      <c r="N35" s="100" t="n">
        <v>50000</v>
      </c>
      <c r="O35" s="82" t="n">
        <f aca="false">SUM(H35:N35)</f>
        <v>292536.7</v>
      </c>
    </row>
    <row r="36" customFormat="false" ht="27" hidden="true" customHeight="true" outlineLevel="0" collapsed="false">
      <c r="A36" s="15" t="s">
        <v>201</v>
      </c>
      <c r="B36" s="16" t="s">
        <v>157</v>
      </c>
      <c r="C36" s="94" t="s">
        <v>174</v>
      </c>
      <c r="D36" s="98"/>
      <c r="E36" s="98"/>
      <c r="F36" s="98"/>
      <c r="G36" s="98"/>
      <c r="H36" s="99"/>
      <c r="I36" s="99" t="n">
        <f aca="false">I37</f>
        <v>120000</v>
      </c>
      <c r="J36" s="99"/>
      <c r="K36" s="99"/>
      <c r="L36" s="99"/>
      <c r="M36" s="99"/>
      <c r="N36" s="100"/>
      <c r="O36" s="82" t="n">
        <f aca="false">SUM(H36:N36)</f>
        <v>120000</v>
      </c>
    </row>
    <row r="37" customFormat="false" ht="27" hidden="true" customHeight="true" outlineLevel="0" collapsed="false">
      <c r="A37" s="103" t="s">
        <v>202</v>
      </c>
      <c r="B37" s="16"/>
      <c r="C37" s="94" t="s">
        <v>176</v>
      </c>
      <c r="D37" s="98" t="n">
        <v>828</v>
      </c>
      <c r="E37" s="98" t="s">
        <v>178</v>
      </c>
      <c r="F37" s="98" t="s">
        <v>197</v>
      </c>
      <c r="G37" s="98" t="n">
        <v>200</v>
      </c>
      <c r="H37" s="99"/>
      <c r="I37" s="99" t="n">
        <v>120000</v>
      </c>
      <c r="J37" s="99"/>
      <c r="K37" s="99"/>
      <c r="L37" s="99"/>
      <c r="M37" s="99"/>
      <c r="N37" s="100"/>
      <c r="O37" s="82" t="n">
        <f aca="false">SUM(H37:N37)</f>
        <v>120000</v>
      </c>
    </row>
    <row r="38" customFormat="false" ht="28.5" hidden="true" customHeight="true" outlineLevel="0" collapsed="false">
      <c r="A38" s="15" t="s">
        <v>203</v>
      </c>
      <c r="B38" s="80" t="s">
        <v>204</v>
      </c>
      <c r="C38" s="94" t="s">
        <v>174</v>
      </c>
      <c r="D38" s="94"/>
      <c r="E38" s="94"/>
      <c r="F38" s="94"/>
      <c r="G38" s="94"/>
      <c r="H38" s="82" t="n">
        <f aca="false">SUM(H39:H39)</f>
        <v>52157</v>
      </c>
      <c r="I38" s="82" t="n">
        <f aca="false">SUM(I39:I39)</f>
        <v>52000</v>
      </c>
      <c r="J38" s="82" t="n">
        <f aca="false">SUM(J39:J39)</f>
        <v>55000</v>
      </c>
      <c r="K38" s="82" t="n">
        <f aca="false">SUM(K39:K39)</f>
        <v>55000</v>
      </c>
      <c r="L38" s="82" t="n">
        <f aca="false">SUM(L39:L39)</f>
        <v>55000</v>
      </c>
      <c r="M38" s="82" t="n">
        <f aca="false">SUM(M39:M39)</f>
        <v>55000</v>
      </c>
      <c r="N38" s="95" t="n">
        <f aca="false">SUM(N39:N39)</f>
        <v>55000</v>
      </c>
      <c r="O38" s="82" t="n">
        <f aca="false">SUM(H38:N38)</f>
        <v>379157</v>
      </c>
    </row>
    <row r="39" customFormat="false" ht="28.5" hidden="true" customHeight="true" outlineLevel="0" collapsed="false">
      <c r="A39" s="15" t="s">
        <v>205</v>
      </c>
      <c r="B39" s="80"/>
      <c r="C39" s="94" t="s">
        <v>176</v>
      </c>
      <c r="D39" s="102" t="n">
        <v>828</v>
      </c>
      <c r="E39" s="102" t="s">
        <v>178</v>
      </c>
      <c r="F39" s="102" t="s">
        <v>179</v>
      </c>
      <c r="G39" s="102" t="n">
        <v>200</v>
      </c>
      <c r="H39" s="99" t="n">
        <f aca="false">35444+16713</f>
        <v>52157</v>
      </c>
      <c r="I39" s="100" t="n">
        <v>52000</v>
      </c>
      <c r="J39" s="100" t="n">
        <v>55000</v>
      </c>
      <c r="K39" s="100" t="n">
        <v>55000</v>
      </c>
      <c r="L39" s="99" t="n">
        <v>55000</v>
      </c>
      <c r="M39" s="99" t="n">
        <v>55000</v>
      </c>
      <c r="N39" s="100" t="n">
        <v>55000</v>
      </c>
      <c r="O39" s="82" t="n">
        <f aca="false">SUM(H39:N39)</f>
        <v>379157</v>
      </c>
    </row>
    <row r="40" customFormat="false" ht="28.5" hidden="true" customHeight="true" outlineLevel="0" collapsed="false">
      <c r="A40" s="104"/>
      <c r="B40" s="105"/>
      <c r="C40" s="106"/>
      <c r="D40" s="106"/>
      <c r="E40" s="106"/>
      <c r="F40" s="106"/>
      <c r="G40" s="106"/>
      <c r="H40" s="107"/>
      <c r="I40" s="108"/>
      <c r="J40" s="108"/>
      <c r="K40" s="108"/>
      <c r="L40" s="108"/>
      <c r="M40" s="108"/>
      <c r="N40" s="108"/>
      <c r="O40" s="109"/>
    </row>
    <row r="41" customFormat="false" ht="28.5" hidden="false" customHeight="true" outlineLevel="0" collapsed="false">
      <c r="A41" s="89"/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1"/>
    </row>
    <row r="42" customFormat="false" ht="28.5" hidden="false" customHeight="true" outlineLevel="0" collapsed="false">
      <c r="A42" s="11" t="s">
        <v>4</v>
      </c>
      <c r="B42" s="11" t="s">
        <v>121</v>
      </c>
      <c r="C42" s="11" t="s">
        <v>206</v>
      </c>
      <c r="D42" s="11" t="s">
        <v>169</v>
      </c>
      <c r="E42" s="11"/>
      <c r="F42" s="11"/>
      <c r="G42" s="11"/>
      <c r="H42" s="11" t="s">
        <v>207</v>
      </c>
      <c r="I42" s="11"/>
      <c r="J42" s="11"/>
      <c r="K42" s="11"/>
      <c r="L42" s="11"/>
      <c r="M42" s="11"/>
      <c r="N42" s="11"/>
      <c r="O42" s="11"/>
    </row>
    <row r="43" customFormat="false" ht="24" hidden="false" customHeight="true" outlineLevel="0" collapsed="false">
      <c r="A43" s="11"/>
      <c r="B43" s="11"/>
      <c r="C43" s="11"/>
      <c r="D43" s="110" t="s">
        <v>171</v>
      </c>
      <c r="E43" s="110"/>
      <c r="F43" s="110"/>
      <c r="G43" s="110"/>
      <c r="H43" s="11" t="s">
        <v>208</v>
      </c>
      <c r="I43" s="11" t="s">
        <v>76</v>
      </c>
      <c r="J43" s="11" t="s">
        <v>77</v>
      </c>
      <c r="K43" s="11" t="s">
        <v>78</v>
      </c>
      <c r="L43" s="11" t="s">
        <v>79</v>
      </c>
      <c r="M43" s="11" t="s">
        <v>80</v>
      </c>
      <c r="N43" s="11" t="s">
        <v>81</v>
      </c>
      <c r="O43" s="11" t="s">
        <v>172</v>
      </c>
    </row>
    <row r="44" customFormat="false" ht="21.75" hidden="false" customHeight="true" outlineLevel="0" collapsed="false">
      <c r="A44" s="11" t="n">
        <v>1</v>
      </c>
      <c r="B44" s="11" t="n">
        <v>2</v>
      </c>
      <c r="C44" s="11" t="n">
        <v>2</v>
      </c>
      <c r="D44" s="11" t="n">
        <v>3</v>
      </c>
      <c r="E44" s="11" t="n">
        <v>4</v>
      </c>
      <c r="F44" s="11" t="n">
        <v>5</v>
      </c>
      <c r="G44" s="11" t="n">
        <v>6</v>
      </c>
      <c r="H44" s="11" t="n">
        <v>7</v>
      </c>
      <c r="I44" s="11" t="n">
        <v>8</v>
      </c>
      <c r="J44" s="11" t="n">
        <v>9</v>
      </c>
      <c r="K44" s="11" t="n">
        <v>10</v>
      </c>
      <c r="L44" s="11" t="n">
        <v>11</v>
      </c>
      <c r="M44" s="11" t="n">
        <v>12</v>
      </c>
      <c r="N44" s="11" t="n">
        <v>13</v>
      </c>
      <c r="O44" s="11" t="n">
        <v>14</v>
      </c>
      <c r="Q44" s="96"/>
      <c r="R44" s="96"/>
      <c r="S44" s="96"/>
      <c r="T44" s="96"/>
      <c r="U44" s="96"/>
      <c r="V44" s="96"/>
      <c r="W44" s="96"/>
    </row>
    <row r="45" customFormat="false" ht="28.5" hidden="false" customHeight="true" outlineLevel="0" collapsed="false">
      <c r="A45" s="111"/>
      <c r="B45" s="112"/>
      <c r="C45" s="113" t="s">
        <v>209</v>
      </c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96" t="n">
        <f aca="false">O46-P46</f>
        <v>52681962</v>
      </c>
    </row>
    <row r="46" customFormat="false" ht="24" hidden="false" customHeight="true" outlineLevel="0" collapsed="false">
      <c r="A46" s="15"/>
      <c r="B46" s="114" t="s">
        <v>173</v>
      </c>
      <c r="C46" s="115" t="s">
        <v>210</v>
      </c>
      <c r="D46" s="94"/>
      <c r="E46" s="94"/>
      <c r="F46" s="94"/>
      <c r="G46" s="94"/>
      <c r="H46" s="82" t="n">
        <f aca="false">H55+H56+H57+H58+H72+H82+H93+H103+H112+H122+H132+H141+H142+H143+H144</f>
        <v>6978370.5</v>
      </c>
      <c r="I46" s="82" t="n">
        <f aca="false">I59+I60+I61+I62+I63+I73+I83+I94+I113+I123+I145+I146</f>
        <v>8456601.4</v>
      </c>
      <c r="J46" s="82" t="n">
        <f aca="false">J59+J60+J61+J62+J63+J73+J83+J94+J113+J123+J145+J146</f>
        <v>8840061.7</v>
      </c>
      <c r="K46" s="82" t="n">
        <f aca="false">K59+K60+K61+K62+K63+K73+K83+K94+K113+K123+K145+K146</f>
        <v>8846758.9</v>
      </c>
      <c r="L46" s="82" t="n">
        <f aca="false">L59+L60+L61+L62+L63+L73+L83+L94+L113+L123+L145+L146</f>
        <v>8562920</v>
      </c>
      <c r="M46" s="82" t="n">
        <f aca="false">M59+M60+M61+M62+M63+M73+M83+M94+M113+M123+M145+M146</f>
        <v>8837810</v>
      </c>
      <c r="N46" s="82" t="n">
        <f aca="false">N59+N60+N61+N62+N63+N73+N83+N94+N113+N123+N145+N146</f>
        <v>9137810</v>
      </c>
      <c r="O46" s="82" t="n">
        <f aca="false">SUM(H46:N46)</f>
        <v>59660332.5</v>
      </c>
      <c r="P46" s="96" t="n">
        <f aca="false">O55+O56+O57+O58+O72+O82+O93+O103+O112+O122+O132+O141+O142+O143+O144</f>
        <v>6978370.5</v>
      </c>
      <c r="Q46" s="96" t="n">
        <f aca="false">O46+O52</f>
        <v>59952762.4</v>
      </c>
      <c r="S46" s="96" t="n">
        <f aca="false">H46+H52</f>
        <v>7101764.3</v>
      </c>
      <c r="T46" s="96" t="n">
        <f aca="false">I46+I52</f>
        <v>8559319</v>
      </c>
      <c r="U46" s="96" t="n">
        <f aca="false">O46+O52</f>
        <v>59952762.4</v>
      </c>
      <c r="V46" s="96"/>
      <c r="X46" s="96" t="n">
        <f aca="false">I46-I58-I141+2173</f>
        <v>8458774.4</v>
      </c>
    </row>
    <row r="47" customFormat="false" ht="33.75" hidden="false" customHeight="true" outlineLevel="0" collapsed="false">
      <c r="A47" s="15"/>
      <c r="B47" s="114"/>
      <c r="C47" s="115" t="s">
        <v>211</v>
      </c>
      <c r="D47" s="94"/>
      <c r="E47" s="94"/>
      <c r="F47" s="94"/>
      <c r="G47" s="94"/>
      <c r="H47" s="82"/>
      <c r="I47" s="82"/>
      <c r="J47" s="82"/>
      <c r="K47" s="82"/>
      <c r="L47" s="82"/>
      <c r="M47" s="82"/>
      <c r="N47" s="82"/>
      <c r="O47" s="82"/>
      <c r="P47" s="96" t="n">
        <f aca="false">P46-O46</f>
        <v>-52681962</v>
      </c>
      <c r="Q47" s="96" t="n">
        <f aca="false">H46+H52</f>
        <v>7101764.3</v>
      </c>
      <c r="T47" s="73" t="n">
        <v>22328</v>
      </c>
    </row>
    <row r="48" customFormat="false" ht="39.75" hidden="false" customHeight="true" outlineLevel="0" collapsed="false">
      <c r="A48" s="15"/>
      <c r="B48" s="114"/>
      <c r="C48" s="115" t="s">
        <v>212</v>
      </c>
      <c r="D48" s="94"/>
      <c r="E48" s="94"/>
      <c r="F48" s="94"/>
      <c r="G48" s="94"/>
      <c r="H48" s="82"/>
      <c r="I48" s="82"/>
      <c r="J48" s="82"/>
      <c r="K48" s="82"/>
      <c r="L48" s="82"/>
      <c r="M48" s="82"/>
      <c r="N48" s="82"/>
      <c r="O48" s="82"/>
      <c r="T48" s="96" t="n">
        <f aca="false">T46-T47</f>
        <v>8536991</v>
      </c>
    </row>
    <row r="49" customFormat="false" ht="25.5" hidden="false" customHeight="true" outlineLevel="0" collapsed="false">
      <c r="A49" s="15"/>
      <c r="B49" s="114"/>
      <c r="C49" s="115" t="s">
        <v>213</v>
      </c>
      <c r="D49" s="94"/>
      <c r="E49" s="94"/>
      <c r="F49" s="94"/>
      <c r="G49" s="94"/>
      <c r="H49" s="82" t="n">
        <f aca="false">H86+H106</f>
        <v>1860280.2</v>
      </c>
      <c r="I49" s="82" t="n">
        <f aca="false">I87</f>
        <v>1569901</v>
      </c>
      <c r="J49" s="82" t="n">
        <f aca="false">J87</f>
        <v>1107172.3</v>
      </c>
      <c r="K49" s="15"/>
      <c r="L49" s="15"/>
      <c r="M49" s="15"/>
      <c r="N49" s="15"/>
      <c r="O49" s="82" t="n">
        <f aca="false">SUM(H49:N49)</f>
        <v>4537353.5</v>
      </c>
    </row>
    <row r="50" customFormat="false" ht="70.5" hidden="false" customHeight="true" outlineLevel="0" collapsed="false">
      <c r="A50" s="15"/>
      <c r="B50" s="114"/>
      <c r="C50" s="115" t="s">
        <v>214</v>
      </c>
      <c r="D50" s="94"/>
      <c r="E50" s="94"/>
      <c r="F50" s="94"/>
      <c r="G50" s="94"/>
      <c r="H50" s="15"/>
      <c r="I50" s="15"/>
      <c r="J50" s="15"/>
      <c r="K50" s="15"/>
      <c r="L50" s="15"/>
      <c r="M50" s="15"/>
      <c r="N50" s="15"/>
      <c r="O50" s="82"/>
    </row>
    <row r="51" customFormat="false" ht="50.25" hidden="false" customHeight="true" outlineLevel="0" collapsed="false">
      <c r="A51" s="15"/>
      <c r="B51" s="114"/>
      <c r="C51" s="115" t="s">
        <v>215</v>
      </c>
      <c r="D51" s="94"/>
      <c r="E51" s="94"/>
      <c r="F51" s="94"/>
      <c r="G51" s="94"/>
      <c r="H51" s="82"/>
      <c r="I51" s="82"/>
      <c r="J51" s="82"/>
      <c r="K51" s="82"/>
      <c r="L51" s="82"/>
      <c r="M51" s="82"/>
      <c r="N51" s="82"/>
      <c r="O51" s="82"/>
    </row>
    <row r="52" customFormat="false" ht="27" hidden="false" customHeight="true" outlineLevel="0" collapsed="false">
      <c r="A52" s="15"/>
      <c r="B52" s="114"/>
      <c r="C52" s="115" t="s">
        <v>177</v>
      </c>
      <c r="D52" s="94"/>
      <c r="E52" s="94"/>
      <c r="F52" s="94"/>
      <c r="G52" s="94"/>
      <c r="H52" s="82" t="n">
        <f aca="false">H90+H109</f>
        <v>123393.8</v>
      </c>
      <c r="I52" s="82" t="n">
        <f aca="false">I90+I109</f>
        <v>102717.6</v>
      </c>
      <c r="J52" s="82" t="n">
        <f aca="false">J90+J109</f>
        <v>66318.5</v>
      </c>
      <c r="K52" s="82" t="n">
        <f aca="false">K90+K109</f>
        <v>0</v>
      </c>
      <c r="L52" s="82" t="n">
        <f aca="false">L90+L109</f>
        <v>0</v>
      </c>
      <c r="M52" s="82" t="n">
        <f aca="false">M90+M109</f>
        <v>0</v>
      </c>
      <c r="N52" s="82" t="n">
        <f aca="false">N90+N109</f>
        <v>0</v>
      </c>
      <c r="O52" s="82" t="n">
        <f aca="false">SUM(H52:N52)</f>
        <v>292429.9</v>
      </c>
    </row>
    <row r="53" customFormat="false" ht="21.75" hidden="false" customHeight="true" outlineLevel="0" collapsed="false">
      <c r="A53" s="15"/>
      <c r="B53" s="114"/>
      <c r="C53" s="115" t="s">
        <v>216</v>
      </c>
      <c r="D53" s="94"/>
      <c r="E53" s="94"/>
      <c r="F53" s="94"/>
      <c r="G53" s="94"/>
      <c r="H53" s="15"/>
      <c r="I53" s="15"/>
      <c r="J53" s="15"/>
      <c r="K53" s="15"/>
      <c r="L53" s="15"/>
      <c r="M53" s="15"/>
      <c r="N53" s="15"/>
      <c r="O53" s="82"/>
    </row>
    <row r="54" customFormat="false" ht="32.25" hidden="false" customHeight="true" outlineLevel="0" collapsed="false">
      <c r="A54" s="11" t="s">
        <v>19</v>
      </c>
      <c r="B54" s="116"/>
      <c r="C54" s="117" t="s">
        <v>126</v>
      </c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7"/>
    </row>
    <row r="55" customFormat="false" ht="20.25" hidden="false" customHeight="true" outlineLevel="0" collapsed="false">
      <c r="A55" s="118"/>
      <c r="B55" s="114" t="s">
        <v>126</v>
      </c>
      <c r="C55" s="119" t="s">
        <v>210</v>
      </c>
      <c r="D55" s="98" t="n">
        <v>828</v>
      </c>
      <c r="E55" s="98" t="s">
        <v>178</v>
      </c>
      <c r="F55" s="98" t="s">
        <v>179</v>
      </c>
      <c r="G55" s="98" t="n">
        <v>200</v>
      </c>
      <c r="H55" s="99" t="n">
        <v>3957951.7</v>
      </c>
      <c r="I55" s="99"/>
      <c r="J55" s="99"/>
      <c r="K55" s="99"/>
      <c r="L55" s="99"/>
      <c r="M55" s="99"/>
      <c r="N55" s="100"/>
      <c r="O55" s="82" t="n">
        <f aca="false">SUM(H55:N55)</f>
        <v>3957951.7</v>
      </c>
      <c r="Q55" s="120" t="n">
        <f aca="false">6684-155</f>
        <v>6529</v>
      </c>
      <c r="R55" s="121" t="s">
        <v>217</v>
      </c>
    </row>
    <row r="56" customFormat="false" ht="21" hidden="false" customHeight="true" outlineLevel="0" collapsed="false">
      <c r="A56" s="118"/>
      <c r="B56" s="114"/>
      <c r="C56" s="119"/>
      <c r="D56" s="98" t="n">
        <v>828</v>
      </c>
      <c r="E56" s="98" t="s">
        <v>178</v>
      </c>
      <c r="F56" s="98" t="s">
        <v>179</v>
      </c>
      <c r="G56" s="98" t="n">
        <v>800</v>
      </c>
      <c r="H56" s="99" t="n">
        <v>500</v>
      </c>
      <c r="I56" s="100"/>
      <c r="J56" s="100"/>
      <c r="K56" s="100"/>
      <c r="L56" s="100"/>
      <c r="M56" s="100"/>
      <c r="N56" s="100"/>
      <c r="O56" s="82" t="n">
        <f aca="false">SUM(H56:N56)</f>
        <v>500</v>
      </c>
    </row>
    <row r="57" customFormat="false" ht="20.25" hidden="false" customHeight="true" outlineLevel="0" collapsed="false">
      <c r="A57" s="118"/>
      <c r="B57" s="114"/>
      <c r="C57" s="119"/>
      <c r="D57" s="98" t="n">
        <v>828</v>
      </c>
      <c r="E57" s="98" t="s">
        <v>178</v>
      </c>
      <c r="F57" s="98" t="s">
        <v>181</v>
      </c>
      <c r="G57" s="98" t="n">
        <v>200</v>
      </c>
      <c r="H57" s="122" t="n">
        <f aca="false">173842.1-15066</f>
        <v>158776.1</v>
      </c>
      <c r="I57" s="122"/>
      <c r="J57" s="122"/>
      <c r="K57" s="122"/>
      <c r="L57" s="122"/>
      <c r="M57" s="122"/>
      <c r="N57" s="122"/>
      <c r="O57" s="82" t="n">
        <f aca="false">SUM(H57:N57)</f>
        <v>158776.1</v>
      </c>
    </row>
    <row r="58" customFormat="false" ht="20.25" hidden="false" customHeight="true" outlineLevel="0" collapsed="false">
      <c r="A58" s="118"/>
      <c r="B58" s="114"/>
      <c r="C58" s="119"/>
      <c r="D58" s="98" t="n">
        <v>828</v>
      </c>
      <c r="E58" s="98" t="s">
        <v>178</v>
      </c>
      <c r="F58" s="98" t="s">
        <v>181</v>
      </c>
      <c r="G58" s="98" t="n">
        <v>600</v>
      </c>
      <c r="H58" s="122" t="n">
        <v>22328</v>
      </c>
      <c r="I58" s="122"/>
      <c r="J58" s="122"/>
      <c r="K58" s="122"/>
      <c r="L58" s="122"/>
      <c r="M58" s="122"/>
      <c r="N58" s="122"/>
      <c r="O58" s="82" t="n">
        <f aca="false">SUM(H58:N58)</f>
        <v>22328</v>
      </c>
    </row>
    <row r="59" customFormat="false" ht="20.25" hidden="false" customHeight="true" outlineLevel="0" collapsed="false">
      <c r="A59" s="118"/>
      <c r="B59" s="114"/>
      <c r="C59" s="119"/>
      <c r="D59" s="123" t="n">
        <v>828</v>
      </c>
      <c r="E59" s="123" t="s">
        <v>178</v>
      </c>
      <c r="F59" s="123" t="s">
        <v>218</v>
      </c>
      <c r="G59" s="123" t="n">
        <v>200</v>
      </c>
      <c r="H59" s="122"/>
      <c r="I59" s="122" t="n">
        <v>3674146.2</v>
      </c>
      <c r="J59" s="122" t="n">
        <v>4227818.5</v>
      </c>
      <c r="K59" s="122" t="n">
        <v>4321358.5</v>
      </c>
      <c r="L59" s="122" t="n">
        <v>4421358.5</v>
      </c>
      <c r="M59" s="122" t="n">
        <v>4521358.5</v>
      </c>
      <c r="N59" s="122" t="n">
        <v>4621358.5</v>
      </c>
      <c r="O59" s="82" t="n">
        <f aca="false">SUM(H59:N59)</f>
        <v>25787398.7</v>
      </c>
    </row>
    <row r="60" customFormat="false" ht="20.25" hidden="false" customHeight="true" outlineLevel="0" collapsed="false">
      <c r="A60" s="118"/>
      <c r="B60" s="114"/>
      <c r="C60" s="119"/>
      <c r="D60" s="123" t="n">
        <v>828</v>
      </c>
      <c r="E60" s="123" t="s">
        <v>178</v>
      </c>
      <c r="F60" s="123" t="s">
        <v>218</v>
      </c>
      <c r="G60" s="123" t="n">
        <v>800</v>
      </c>
      <c r="H60" s="122"/>
      <c r="I60" s="122" t="n">
        <v>5000</v>
      </c>
      <c r="J60" s="122" t="n">
        <v>5000</v>
      </c>
      <c r="K60" s="122" t="n">
        <v>5000</v>
      </c>
      <c r="L60" s="122" t="n">
        <v>5000</v>
      </c>
      <c r="M60" s="122" t="n">
        <v>5000</v>
      </c>
      <c r="N60" s="122" t="n">
        <v>5000</v>
      </c>
      <c r="O60" s="82" t="n">
        <f aca="false">SUM(H60:N60)</f>
        <v>30000</v>
      </c>
    </row>
    <row r="61" customFormat="false" ht="20.25" hidden="false" customHeight="true" outlineLevel="0" collapsed="false">
      <c r="A61" s="118"/>
      <c r="B61" s="114"/>
      <c r="C61" s="119"/>
      <c r="D61" s="123" t="n">
        <v>828</v>
      </c>
      <c r="E61" s="123" t="s">
        <v>178</v>
      </c>
      <c r="F61" s="123" t="s">
        <v>219</v>
      </c>
      <c r="G61" s="123" t="n">
        <v>200</v>
      </c>
      <c r="H61" s="122"/>
      <c r="I61" s="122" t="n">
        <v>337457.4</v>
      </c>
      <c r="J61" s="122" t="n">
        <v>189508.5</v>
      </c>
      <c r="K61" s="122" t="n">
        <v>189641.5</v>
      </c>
      <c r="L61" s="122" t="n">
        <v>189641.5</v>
      </c>
      <c r="M61" s="122" t="n">
        <v>189641.5</v>
      </c>
      <c r="N61" s="122" t="n">
        <v>189641.5</v>
      </c>
      <c r="O61" s="82" t="n">
        <f aca="false">SUM(H61:N61)</f>
        <v>1285531.9</v>
      </c>
    </row>
    <row r="62" customFormat="false" ht="20.25" hidden="false" customHeight="true" outlineLevel="0" collapsed="false">
      <c r="A62" s="118"/>
      <c r="B62" s="114"/>
      <c r="C62" s="119"/>
      <c r="D62" s="123" t="n">
        <v>828</v>
      </c>
      <c r="E62" s="123" t="s">
        <v>178</v>
      </c>
      <c r="F62" s="123" t="s">
        <v>219</v>
      </c>
      <c r="G62" s="124" t="n">
        <v>600</v>
      </c>
      <c r="H62" s="122"/>
      <c r="I62" s="122" t="n">
        <v>24075</v>
      </c>
      <c r="J62" s="122" t="n">
        <v>24774</v>
      </c>
      <c r="K62" s="122" t="n">
        <v>25363</v>
      </c>
      <c r="L62" s="122" t="n">
        <v>25363</v>
      </c>
      <c r="M62" s="122" t="n">
        <v>25363</v>
      </c>
      <c r="N62" s="122" t="n">
        <v>25363</v>
      </c>
      <c r="O62" s="82" t="n">
        <f aca="false">SUM(H62:N62)</f>
        <v>150301</v>
      </c>
    </row>
    <row r="63" customFormat="false" ht="20.25" hidden="false" customHeight="true" outlineLevel="0" collapsed="false">
      <c r="A63" s="118"/>
      <c r="B63" s="114"/>
      <c r="C63" s="119"/>
      <c r="D63" s="123" t="n">
        <v>828</v>
      </c>
      <c r="E63" s="123" t="s">
        <v>178</v>
      </c>
      <c r="F63" s="123" t="s">
        <v>220</v>
      </c>
      <c r="G63" s="123" t="n">
        <v>200</v>
      </c>
      <c r="H63" s="122"/>
      <c r="I63" s="122" t="n">
        <v>167274.8</v>
      </c>
      <c r="J63" s="122" t="n">
        <v>177000</v>
      </c>
      <c r="K63" s="122" t="n">
        <v>184000</v>
      </c>
      <c r="L63" s="122" t="n">
        <v>184000</v>
      </c>
      <c r="M63" s="122" t="n">
        <v>184000</v>
      </c>
      <c r="N63" s="122" t="n">
        <v>184000</v>
      </c>
      <c r="O63" s="82" t="n">
        <f aca="false">SUM(H63:N63)</f>
        <v>1080274.8</v>
      </c>
    </row>
    <row r="64" customFormat="false" ht="30.75" hidden="false" customHeight="true" outlineLevel="0" collapsed="false">
      <c r="A64" s="115"/>
      <c r="B64" s="114"/>
      <c r="C64" s="115" t="s">
        <v>211</v>
      </c>
      <c r="D64" s="94"/>
      <c r="E64" s="94"/>
      <c r="F64" s="94"/>
      <c r="G64" s="94"/>
      <c r="H64" s="125"/>
      <c r="I64" s="125"/>
      <c r="J64" s="125"/>
      <c r="K64" s="125"/>
      <c r="L64" s="125"/>
      <c r="M64" s="125"/>
      <c r="N64" s="125"/>
      <c r="O64" s="125"/>
    </row>
    <row r="65" customFormat="false" ht="30.75" hidden="false" customHeight="true" outlineLevel="0" collapsed="false">
      <c r="A65" s="15"/>
      <c r="B65" s="114"/>
      <c r="C65" s="115" t="s">
        <v>212</v>
      </c>
      <c r="D65" s="94"/>
      <c r="E65" s="94"/>
      <c r="F65" s="94"/>
      <c r="G65" s="94"/>
      <c r="H65" s="82"/>
      <c r="I65" s="82"/>
      <c r="J65" s="82"/>
      <c r="K65" s="82"/>
      <c r="L65" s="82"/>
      <c r="M65" s="82"/>
      <c r="N65" s="82"/>
      <c r="O65" s="82"/>
    </row>
    <row r="66" customFormat="false" ht="24" hidden="false" customHeight="true" outlineLevel="0" collapsed="false">
      <c r="A66" s="15"/>
      <c r="B66" s="114"/>
      <c r="C66" s="115" t="s">
        <v>213</v>
      </c>
      <c r="D66" s="94"/>
      <c r="E66" s="94"/>
      <c r="F66" s="94"/>
      <c r="G66" s="94"/>
      <c r="H66" s="82"/>
      <c r="I66" s="82"/>
      <c r="J66" s="82"/>
      <c r="K66" s="82"/>
      <c r="L66" s="82"/>
      <c r="M66" s="82"/>
      <c r="N66" s="82"/>
      <c r="O66" s="82"/>
    </row>
    <row r="67" customFormat="false" ht="63" hidden="false" customHeight="false" outlineLevel="0" collapsed="false">
      <c r="A67" s="15"/>
      <c r="B67" s="114"/>
      <c r="C67" s="115" t="s">
        <v>214</v>
      </c>
      <c r="D67" s="94"/>
      <c r="E67" s="94"/>
      <c r="F67" s="94"/>
      <c r="G67" s="94"/>
      <c r="H67" s="82"/>
      <c r="I67" s="82"/>
      <c r="J67" s="82"/>
      <c r="K67" s="82"/>
      <c r="L67" s="82"/>
      <c r="M67" s="82"/>
      <c r="N67" s="82"/>
      <c r="O67" s="82"/>
    </row>
    <row r="68" customFormat="false" ht="50.25" hidden="false" customHeight="true" outlineLevel="0" collapsed="false">
      <c r="A68" s="15"/>
      <c r="B68" s="114"/>
      <c r="C68" s="115" t="s">
        <v>215</v>
      </c>
      <c r="D68" s="94"/>
      <c r="E68" s="94"/>
      <c r="F68" s="94"/>
      <c r="G68" s="94"/>
      <c r="H68" s="82"/>
      <c r="I68" s="82"/>
      <c r="J68" s="82"/>
      <c r="K68" s="82"/>
      <c r="L68" s="82"/>
      <c r="M68" s="82"/>
      <c r="N68" s="82"/>
      <c r="O68" s="82"/>
    </row>
    <row r="69" customFormat="false" ht="18.75" hidden="false" customHeight="true" outlineLevel="0" collapsed="false">
      <c r="A69" s="15"/>
      <c r="B69" s="114"/>
      <c r="C69" s="115" t="s">
        <v>177</v>
      </c>
      <c r="D69" s="94"/>
      <c r="E69" s="94"/>
      <c r="F69" s="94"/>
      <c r="G69" s="94"/>
      <c r="H69" s="82"/>
      <c r="I69" s="82"/>
      <c r="J69" s="82"/>
      <c r="K69" s="82"/>
      <c r="L69" s="82"/>
      <c r="M69" s="82"/>
      <c r="N69" s="82"/>
      <c r="O69" s="82"/>
    </row>
    <row r="70" customFormat="false" ht="19.5" hidden="false" customHeight="true" outlineLevel="0" collapsed="false">
      <c r="A70" s="15"/>
      <c r="B70" s="114"/>
      <c r="C70" s="115" t="s">
        <v>216</v>
      </c>
      <c r="D70" s="94"/>
      <c r="E70" s="94"/>
      <c r="F70" s="94"/>
      <c r="G70" s="94"/>
      <c r="H70" s="82"/>
      <c r="I70" s="82"/>
      <c r="J70" s="82"/>
      <c r="K70" s="82"/>
      <c r="L70" s="82"/>
      <c r="M70" s="82"/>
      <c r="N70" s="82"/>
      <c r="O70" s="82"/>
    </row>
    <row r="71" customFormat="false" ht="31.5" hidden="false" customHeight="true" outlineLevel="0" collapsed="false">
      <c r="A71" s="11" t="s">
        <v>30</v>
      </c>
      <c r="B71" s="116"/>
      <c r="C71" s="117" t="s">
        <v>132</v>
      </c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</row>
    <row r="72" customFormat="false" ht="22.5" hidden="false" customHeight="true" outlineLevel="0" collapsed="false">
      <c r="A72" s="15"/>
      <c r="B72" s="80" t="s">
        <v>132</v>
      </c>
      <c r="C72" s="119" t="s">
        <v>210</v>
      </c>
      <c r="D72" s="98" t="n">
        <v>828</v>
      </c>
      <c r="E72" s="98" t="s">
        <v>178</v>
      </c>
      <c r="F72" s="98" t="s">
        <v>179</v>
      </c>
      <c r="G72" s="98" t="n">
        <v>200</v>
      </c>
      <c r="H72" s="82" t="n">
        <v>813458.2</v>
      </c>
      <c r="I72" s="99"/>
      <c r="J72" s="99"/>
      <c r="K72" s="82"/>
      <c r="L72" s="82"/>
      <c r="M72" s="82"/>
      <c r="N72" s="95"/>
      <c r="O72" s="82" t="n">
        <f aca="false">SUM(H72:N72)</f>
        <v>813458.2</v>
      </c>
    </row>
    <row r="73" customFormat="false" ht="22.5" hidden="false" customHeight="true" outlineLevel="0" collapsed="false">
      <c r="A73" s="15"/>
      <c r="B73" s="80"/>
      <c r="C73" s="119"/>
      <c r="D73" s="123" t="n">
        <v>828</v>
      </c>
      <c r="E73" s="123" t="s">
        <v>178</v>
      </c>
      <c r="F73" s="123" t="s">
        <v>221</v>
      </c>
      <c r="G73" s="123" t="n">
        <v>200</v>
      </c>
      <c r="H73" s="82"/>
      <c r="I73" s="99" t="n">
        <f aca="false">2437479.5-89098-0.1-600</f>
        <v>2347781.4</v>
      </c>
      <c r="J73" s="126" t="n">
        <f aca="false">2543104.6-101179-10905.2</f>
        <v>2431020.4</v>
      </c>
      <c r="K73" s="127" t="n">
        <f aca="false">5200000-200000-150000+1335384-1243885-2006420-1404-200000-984732.4-17413+1810266.3-76000</f>
        <v>3465795.9</v>
      </c>
      <c r="L73" s="127" t="n">
        <f aca="false">5300000+732557-3000000</f>
        <v>3032557</v>
      </c>
      <c r="M73" s="127" t="n">
        <f aca="false">5400000+807447-3000000</f>
        <v>3207447</v>
      </c>
      <c r="N73" s="128" t="n">
        <f aca="false">5500000+907447-3000000</f>
        <v>3407447</v>
      </c>
      <c r="O73" s="82" t="n">
        <f aca="false">SUM(H73:N73)</f>
        <v>17892048.7</v>
      </c>
    </row>
    <row r="74" customFormat="false" ht="31.5" hidden="false" customHeight="false" outlineLevel="0" collapsed="false">
      <c r="A74" s="15"/>
      <c r="B74" s="80"/>
      <c r="C74" s="115" t="s">
        <v>211</v>
      </c>
      <c r="D74" s="94"/>
      <c r="E74" s="94"/>
      <c r="F74" s="94"/>
      <c r="G74" s="94"/>
      <c r="H74" s="82"/>
      <c r="I74" s="82"/>
      <c r="J74" s="82"/>
      <c r="K74" s="82"/>
      <c r="L74" s="82"/>
      <c r="M74" s="82"/>
      <c r="N74" s="82"/>
      <c r="O74" s="82"/>
    </row>
    <row r="75" customFormat="false" ht="31.5" hidden="false" customHeight="false" outlineLevel="0" collapsed="false">
      <c r="A75" s="15"/>
      <c r="B75" s="80"/>
      <c r="C75" s="115" t="s">
        <v>212</v>
      </c>
      <c r="D75" s="94"/>
      <c r="E75" s="94"/>
      <c r="F75" s="94"/>
      <c r="G75" s="94"/>
      <c r="H75" s="82"/>
      <c r="I75" s="82"/>
      <c r="J75" s="82"/>
      <c r="K75" s="82"/>
      <c r="L75" s="82"/>
      <c r="M75" s="82"/>
      <c r="N75" s="82"/>
      <c r="O75" s="82"/>
    </row>
    <row r="76" customFormat="false" ht="21.75" hidden="false" customHeight="true" outlineLevel="0" collapsed="false">
      <c r="A76" s="15"/>
      <c r="B76" s="80"/>
      <c r="C76" s="115" t="s">
        <v>213</v>
      </c>
      <c r="D76" s="94"/>
      <c r="E76" s="94"/>
      <c r="F76" s="94"/>
      <c r="G76" s="94"/>
      <c r="H76" s="82"/>
      <c r="I76" s="82"/>
      <c r="J76" s="82"/>
      <c r="K76" s="82"/>
      <c r="L76" s="82"/>
      <c r="M76" s="82"/>
      <c r="N76" s="82"/>
      <c r="O76" s="82"/>
    </row>
    <row r="77" customFormat="false" ht="63" hidden="false" customHeight="false" outlineLevel="0" collapsed="false">
      <c r="A77" s="15"/>
      <c r="B77" s="80"/>
      <c r="C77" s="115" t="s">
        <v>214</v>
      </c>
      <c r="D77" s="94"/>
      <c r="E77" s="94"/>
      <c r="F77" s="94"/>
      <c r="G77" s="94"/>
      <c r="H77" s="82"/>
      <c r="I77" s="82"/>
      <c r="J77" s="82"/>
      <c r="K77" s="82"/>
      <c r="L77" s="82"/>
      <c r="M77" s="82"/>
      <c r="N77" s="82"/>
      <c r="O77" s="82"/>
    </row>
    <row r="78" customFormat="false" ht="47.25" hidden="false" customHeight="false" outlineLevel="0" collapsed="false">
      <c r="A78" s="15"/>
      <c r="B78" s="80"/>
      <c r="C78" s="115" t="s">
        <v>215</v>
      </c>
      <c r="D78" s="94"/>
      <c r="E78" s="94"/>
      <c r="F78" s="94"/>
      <c r="G78" s="94"/>
      <c r="H78" s="82"/>
      <c r="I78" s="82"/>
      <c r="J78" s="82"/>
      <c r="K78" s="82"/>
      <c r="L78" s="82"/>
      <c r="M78" s="82"/>
      <c r="N78" s="82"/>
      <c r="O78" s="82"/>
    </row>
    <row r="79" customFormat="false" ht="18.75" hidden="false" customHeight="true" outlineLevel="0" collapsed="false">
      <c r="A79" s="15"/>
      <c r="B79" s="80"/>
      <c r="C79" s="115" t="s">
        <v>177</v>
      </c>
      <c r="D79" s="94"/>
      <c r="E79" s="94"/>
      <c r="F79" s="94"/>
      <c r="G79" s="94"/>
      <c r="H79" s="82"/>
      <c r="I79" s="82"/>
      <c r="J79" s="82"/>
      <c r="K79" s="82"/>
      <c r="L79" s="82"/>
      <c r="M79" s="82"/>
      <c r="N79" s="82"/>
      <c r="O79" s="82"/>
    </row>
    <row r="80" customFormat="false" ht="23.3" hidden="false" customHeight="true" outlineLevel="0" collapsed="false">
      <c r="A80" s="15"/>
      <c r="B80" s="80"/>
      <c r="C80" s="115" t="s">
        <v>216</v>
      </c>
      <c r="D80" s="94"/>
      <c r="E80" s="94"/>
      <c r="F80" s="94"/>
      <c r="G80" s="94"/>
      <c r="H80" s="82"/>
      <c r="I80" s="82"/>
      <c r="J80" s="82"/>
      <c r="K80" s="82"/>
      <c r="L80" s="82"/>
      <c r="M80" s="82"/>
      <c r="N80" s="82"/>
      <c r="O80" s="82"/>
    </row>
    <row r="81" customFormat="false" ht="29.85" hidden="false" customHeight="true" outlineLevel="0" collapsed="false">
      <c r="A81" s="11" t="s">
        <v>32</v>
      </c>
      <c r="B81" s="116"/>
      <c r="C81" s="117" t="s">
        <v>136</v>
      </c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</row>
    <row r="82" customFormat="false" ht="21.75" hidden="false" customHeight="true" outlineLevel="0" collapsed="false">
      <c r="A82" s="15"/>
      <c r="B82" s="114" t="s">
        <v>136</v>
      </c>
      <c r="C82" s="119" t="s">
        <v>210</v>
      </c>
      <c r="D82" s="98" t="n">
        <v>828</v>
      </c>
      <c r="E82" s="98" t="s">
        <v>178</v>
      </c>
      <c r="F82" s="98" t="s">
        <v>185</v>
      </c>
      <c r="G82" s="102" t="n">
        <v>500</v>
      </c>
      <c r="H82" s="100" t="n">
        <f aca="false">1784468+75812.2</f>
        <v>1860280.2</v>
      </c>
      <c r="I82" s="100"/>
      <c r="J82" s="82"/>
      <c r="K82" s="82"/>
      <c r="L82" s="82"/>
      <c r="M82" s="82"/>
      <c r="N82" s="82"/>
      <c r="O82" s="82" t="n">
        <f aca="false">SUM(H82:N82)</f>
        <v>1860280.2</v>
      </c>
      <c r="P82" s="96" t="n">
        <f aca="false">SUM(H82:N82)</f>
        <v>1860280.2</v>
      </c>
    </row>
    <row r="83" customFormat="false" ht="22.5" hidden="false" customHeight="true" outlineLevel="0" collapsed="false">
      <c r="A83" s="15"/>
      <c r="B83" s="114"/>
      <c r="C83" s="119"/>
      <c r="D83" s="123" t="n">
        <v>828</v>
      </c>
      <c r="E83" s="123" t="s">
        <v>178</v>
      </c>
      <c r="F83" s="123" t="s">
        <v>222</v>
      </c>
      <c r="G83" s="124" t="n">
        <v>500</v>
      </c>
      <c r="H83" s="129"/>
      <c r="I83" s="100" t="n">
        <v>1569901</v>
      </c>
      <c r="J83" s="126" t="n">
        <v>1107172.3</v>
      </c>
      <c r="K83" s="82"/>
      <c r="L83" s="82"/>
      <c r="M83" s="82"/>
      <c r="N83" s="82"/>
      <c r="O83" s="82" t="n">
        <f aca="false">SUM(H83:N83)</f>
        <v>2677073.3</v>
      </c>
      <c r="P83" s="96"/>
    </row>
    <row r="84" customFormat="false" ht="31.5" hidden="false" customHeight="false" outlineLevel="0" collapsed="false">
      <c r="A84" s="15"/>
      <c r="B84" s="114"/>
      <c r="C84" s="115" t="s">
        <v>211</v>
      </c>
      <c r="D84" s="94"/>
      <c r="E84" s="94"/>
      <c r="F84" s="94"/>
      <c r="G84" s="94"/>
      <c r="H84" s="82"/>
      <c r="I84" s="82"/>
      <c r="J84" s="82"/>
      <c r="K84" s="82"/>
      <c r="L84" s="82"/>
      <c r="M84" s="82"/>
      <c r="N84" s="82"/>
      <c r="O84" s="82"/>
    </row>
    <row r="85" customFormat="false" ht="31.5" hidden="false" customHeight="false" outlineLevel="0" collapsed="false">
      <c r="A85" s="15"/>
      <c r="B85" s="114"/>
      <c r="C85" s="115" t="s">
        <v>212</v>
      </c>
      <c r="D85" s="94"/>
      <c r="E85" s="94"/>
      <c r="F85" s="94"/>
      <c r="G85" s="94"/>
      <c r="H85" s="82"/>
      <c r="I85" s="82"/>
      <c r="J85" s="82"/>
      <c r="K85" s="82"/>
      <c r="L85" s="82"/>
      <c r="M85" s="82"/>
      <c r="N85" s="82"/>
      <c r="O85" s="82"/>
    </row>
    <row r="86" customFormat="false" ht="24" hidden="false" customHeight="true" outlineLevel="0" collapsed="false">
      <c r="A86" s="15"/>
      <c r="B86" s="114"/>
      <c r="C86" s="119" t="s">
        <v>213</v>
      </c>
      <c r="D86" s="98" t="n">
        <v>828</v>
      </c>
      <c r="E86" s="98" t="s">
        <v>178</v>
      </c>
      <c r="F86" s="98" t="s">
        <v>185</v>
      </c>
      <c r="G86" s="102" t="n">
        <v>500</v>
      </c>
      <c r="H86" s="129" t="n">
        <f aca="false">H82</f>
        <v>1860280.2</v>
      </c>
      <c r="I86" s="100"/>
      <c r="J86" s="82"/>
      <c r="K86" s="82"/>
      <c r="L86" s="82"/>
      <c r="M86" s="82"/>
      <c r="N86" s="82"/>
      <c r="O86" s="82" t="n">
        <f aca="false">SUM(H86:N86)</f>
        <v>1860280.2</v>
      </c>
    </row>
    <row r="87" customFormat="false" ht="21.75" hidden="false" customHeight="true" outlineLevel="0" collapsed="false">
      <c r="A87" s="15"/>
      <c r="B87" s="114"/>
      <c r="C87" s="119"/>
      <c r="D87" s="123" t="n">
        <v>828</v>
      </c>
      <c r="E87" s="123" t="s">
        <v>178</v>
      </c>
      <c r="F87" s="123" t="s">
        <v>222</v>
      </c>
      <c r="G87" s="124" t="n">
        <v>500</v>
      </c>
      <c r="H87" s="129"/>
      <c r="I87" s="100" t="n">
        <f aca="false">I83</f>
        <v>1569901</v>
      </c>
      <c r="J87" s="82" t="n">
        <f aca="false">J83</f>
        <v>1107172.3</v>
      </c>
      <c r="K87" s="82"/>
      <c r="L87" s="82"/>
      <c r="M87" s="82"/>
      <c r="N87" s="82"/>
      <c r="O87" s="82" t="n">
        <f aca="false">SUM(H87:N87)</f>
        <v>2677073.3</v>
      </c>
    </row>
    <row r="88" customFormat="false" ht="60.6" hidden="false" customHeight="true" outlineLevel="0" collapsed="false">
      <c r="A88" s="15"/>
      <c r="B88" s="114"/>
      <c r="C88" s="115" t="s">
        <v>214</v>
      </c>
      <c r="D88" s="94"/>
      <c r="E88" s="94"/>
      <c r="F88" s="94"/>
      <c r="G88" s="94"/>
      <c r="H88" s="82"/>
      <c r="I88" s="82"/>
      <c r="J88" s="82"/>
      <c r="K88" s="82"/>
      <c r="L88" s="82"/>
      <c r="M88" s="82"/>
      <c r="N88" s="82"/>
      <c r="O88" s="82"/>
    </row>
    <row r="89" customFormat="false" ht="47.55" hidden="false" customHeight="true" outlineLevel="0" collapsed="false">
      <c r="A89" s="15"/>
      <c r="B89" s="114"/>
      <c r="C89" s="115" t="s">
        <v>215</v>
      </c>
      <c r="D89" s="94"/>
      <c r="E89" s="94"/>
      <c r="F89" s="94"/>
      <c r="G89" s="94"/>
      <c r="H89" s="87"/>
      <c r="I89" s="82"/>
      <c r="J89" s="82"/>
      <c r="K89" s="82"/>
      <c r="L89" s="82"/>
      <c r="M89" s="82"/>
      <c r="N89" s="82"/>
      <c r="O89" s="82"/>
    </row>
    <row r="90" customFormat="false" ht="21" hidden="false" customHeight="true" outlineLevel="0" collapsed="false">
      <c r="A90" s="15"/>
      <c r="B90" s="114"/>
      <c r="C90" s="115" t="s">
        <v>177</v>
      </c>
      <c r="D90" s="94"/>
      <c r="E90" s="94"/>
      <c r="F90" s="94"/>
      <c r="G90" s="94"/>
      <c r="H90" s="100" t="n">
        <f aca="false">119403.7+3990.1</f>
        <v>123393.8</v>
      </c>
      <c r="I90" s="100" t="n">
        <v>102717.6</v>
      </c>
      <c r="J90" s="126" t="n">
        <v>66318.5</v>
      </c>
      <c r="K90" s="82"/>
      <c r="L90" s="82"/>
      <c r="M90" s="82"/>
      <c r="N90" s="82"/>
      <c r="O90" s="82" t="n">
        <f aca="false">SUM(H90:N90)</f>
        <v>292429.9</v>
      </c>
    </row>
    <row r="91" customFormat="false" ht="19.5" hidden="false" customHeight="true" outlineLevel="0" collapsed="false">
      <c r="A91" s="15"/>
      <c r="B91" s="114"/>
      <c r="C91" s="115" t="s">
        <v>216</v>
      </c>
      <c r="D91" s="94"/>
      <c r="E91" s="94"/>
      <c r="F91" s="94"/>
      <c r="G91" s="94"/>
      <c r="H91" s="82"/>
      <c r="I91" s="82"/>
      <c r="J91" s="82"/>
      <c r="K91" s="82"/>
      <c r="L91" s="82"/>
      <c r="M91" s="82"/>
      <c r="N91" s="82"/>
      <c r="O91" s="82"/>
    </row>
    <row r="92" customFormat="false" ht="24" hidden="false" customHeight="true" outlineLevel="0" collapsed="false">
      <c r="A92" s="11" t="s">
        <v>35</v>
      </c>
      <c r="B92" s="116"/>
      <c r="C92" s="117" t="s">
        <v>188</v>
      </c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7"/>
    </row>
    <row r="93" customFormat="false" ht="31.5" hidden="false" customHeight="true" outlineLevel="0" collapsed="false">
      <c r="A93" s="15"/>
      <c r="B93" s="80" t="s">
        <v>188</v>
      </c>
      <c r="C93" s="119" t="s">
        <v>210</v>
      </c>
      <c r="D93" s="98" t="n">
        <v>828</v>
      </c>
      <c r="E93" s="98" t="s">
        <v>178</v>
      </c>
      <c r="F93" s="98" t="s">
        <v>179</v>
      </c>
      <c r="G93" s="98" t="n">
        <v>200</v>
      </c>
      <c r="H93" s="26"/>
      <c r="I93" s="130"/>
      <c r="J93" s="99"/>
      <c r="K93" s="99"/>
      <c r="L93" s="99"/>
      <c r="M93" s="99"/>
      <c r="N93" s="100"/>
      <c r="O93" s="82" t="n">
        <f aca="false">SUM(H93:N93)</f>
        <v>0</v>
      </c>
    </row>
    <row r="94" customFormat="false" ht="29.25" hidden="false" customHeight="true" outlineLevel="0" collapsed="false">
      <c r="A94" s="15"/>
      <c r="B94" s="80"/>
      <c r="C94" s="119"/>
      <c r="D94" s="123" t="n">
        <v>828</v>
      </c>
      <c r="E94" s="123" t="s">
        <v>178</v>
      </c>
      <c r="F94" s="123" t="s">
        <v>223</v>
      </c>
      <c r="G94" s="123" t="n">
        <v>200</v>
      </c>
      <c r="H94" s="26"/>
      <c r="I94" s="130"/>
      <c r="J94" s="126" t="n">
        <v>107000</v>
      </c>
      <c r="K94" s="126" t="n">
        <v>100000</v>
      </c>
      <c r="L94" s="126" t="n">
        <v>100000</v>
      </c>
      <c r="M94" s="126" t="n">
        <v>100000</v>
      </c>
      <c r="N94" s="131" t="n">
        <v>100000</v>
      </c>
      <c r="O94" s="82" t="n">
        <f aca="false">SUM(H94:N94)</f>
        <v>507000</v>
      </c>
    </row>
    <row r="95" customFormat="false" ht="31.5" hidden="false" customHeight="false" outlineLevel="0" collapsed="false">
      <c r="A95" s="15"/>
      <c r="B95" s="80"/>
      <c r="C95" s="115" t="s">
        <v>211</v>
      </c>
      <c r="D95" s="123"/>
      <c r="E95" s="123"/>
      <c r="F95" s="123"/>
      <c r="G95" s="123"/>
      <c r="H95" s="125"/>
      <c r="I95" s="125"/>
      <c r="J95" s="125"/>
      <c r="K95" s="125"/>
      <c r="L95" s="125"/>
      <c r="M95" s="125"/>
      <c r="N95" s="125"/>
      <c r="O95" s="125"/>
    </row>
    <row r="96" customFormat="false" ht="37.5" hidden="false" customHeight="true" outlineLevel="0" collapsed="false">
      <c r="A96" s="15"/>
      <c r="B96" s="80"/>
      <c r="C96" s="115" t="s">
        <v>212</v>
      </c>
      <c r="D96" s="94"/>
      <c r="E96" s="94"/>
      <c r="F96" s="94"/>
      <c r="G96" s="94"/>
      <c r="H96" s="82"/>
      <c r="I96" s="82"/>
      <c r="J96" s="82"/>
      <c r="K96" s="82"/>
      <c r="L96" s="82"/>
      <c r="M96" s="82"/>
      <c r="N96" s="82"/>
      <c r="O96" s="82"/>
    </row>
    <row r="97" customFormat="false" ht="25.5" hidden="false" customHeight="true" outlineLevel="0" collapsed="false">
      <c r="A97" s="15"/>
      <c r="B97" s="80"/>
      <c r="C97" s="115" t="s">
        <v>213</v>
      </c>
      <c r="D97" s="94"/>
      <c r="E97" s="94"/>
      <c r="F97" s="94"/>
      <c r="G97" s="94"/>
      <c r="H97" s="82"/>
      <c r="I97" s="82"/>
      <c r="J97" s="82"/>
      <c r="K97" s="82"/>
      <c r="L97" s="82"/>
      <c r="M97" s="82"/>
      <c r="N97" s="82"/>
      <c r="O97" s="82"/>
    </row>
    <row r="98" customFormat="false" ht="63" hidden="false" customHeight="false" outlineLevel="0" collapsed="false">
      <c r="A98" s="15"/>
      <c r="B98" s="80"/>
      <c r="C98" s="115" t="s">
        <v>214</v>
      </c>
      <c r="D98" s="94"/>
      <c r="E98" s="94"/>
      <c r="F98" s="94"/>
      <c r="G98" s="94"/>
      <c r="H98" s="82"/>
      <c r="I98" s="82"/>
      <c r="J98" s="82"/>
      <c r="K98" s="82"/>
      <c r="L98" s="82"/>
      <c r="M98" s="82"/>
      <c r="N98" s="82"/>
      <c r="O98" s="82"/>
    </row>
    <row r="99" customFormat="false" ht="50.25" hidden="false" customHeight="true" outlineLevel="0" collapsed="false">
      <c r="A99" s="15"/>
      <c r="B99" s="80"/>
      <c r="C99" s="115" t="s">
        <v>215</v>
      </c>
      <c r="D99" s="94"/>
      <c r="E99" s="94"/>
      <c r="F99" s="94"/>
      <c r="G99" s="94"/>
      <c r="H99" s="82"/>
      <c r="I99" s="82"/>
      <c r="J99" s="82"/>
      <c r="K99" s="82"/>
      <c r="L99" s="82"/>
      <c r="M99" s="82"/>
      <c r="N99" s="82"/>
      <c r="O99" s="82"/>
    </row>
    <row r="100" customFormat="false" ht="18" hidden="false" customHeight="true" outlineLevel="0" collapsed="false">
      <c r="A100" s="15"/>
      <c r="B100" s="80"/>
      <c r="C100" s="115" t="s">
        <v>177</v>
      </c>
      <c r="D100" s="94"/>
      <c r="E100" s="94"/>
      <c r="F100" s="94"/>
      <c r="G100" s="94"/>
      <c r="H100" s="82"/>
      <c r="I100" s="82"/>
      <c r="J100" s="82"/>
      <c r="K100" s="82"/>
      <c r="L100" s="82"/>
      <c r="M100" s="82"/>
      <c r="N100" s="82"/>
      <c r="O100" s="82"/>
    </row>
    <row r="101" customFormat="false" ht="18.75" hidden="false" customHeight="true" outlineLevel="0" collapsed="false">
      <c r="A101" s="15"/>
      <c r="B101" s="80"/>
      <c r="C101" s="115" t="s">
        <v>216</v>
      </c>
      <c r="D101" s="94"/>
      <c r="E101" s="94"/>
      <c r="F101" s="94"/>
      <c r="G101" s="94"/>
      <c r="H101" s="82"/>
      <c r="I101" s="82"/>
      <c r="J101" s="82"/>
      <c r="K101" s="82"/>
      <c r="L101" s="82"/>
      <c r="M101" s="82"/>
      <c r="N101" s="82"/>
      <c r="O101" s="82"/>
    </row>
    <row r="102" customFormat="false" ht="27.75" hidden="true" customHeight="true" outlineLevel="0" collapsed="false">
      <c r="A102" s="11" t="s">
        <v>40</v>
      </c>
      <c r="B102" s="116"/>
      <c r="C102" s="117" t="s">
        <v>191</v>
      </c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  <c r="O102" s="117"/>
    </row>
    <row r="103" customFormat="false" ht="27.75" hidden="true" customHeight="true" outlineLevel="0" collapsed="false">
      <c r="A103" s="15"/>
      <c r="B103" s="80" t="s">
        <v>191</v>
      </c>
      <c r="C103" s="115" t="s">
        <v>210</v>
      </c>
      <c r="D103" s="98" t="n">
        <v>828</v>
      </c>
      <c r="E103" s="98" t="s">
        <v>178</v>
      </c>
      <c r="F103" s="98" t="s">
        <v>185</v>
      </c>
      <c r="G103" s="102" t="n">
        <v>500</v>
      </c>
      <c r="H103" s="82"/>
      <c r="I103" s="82" t="n">
        <v>0</v>
      </c>
      <c r="J103" s="82"/>
      <c r="K103" s="82"/>
      <c r="L103" s="82"/>
      <c r="M103" s="82"/>
      <c r="N103" s="82"/>
      <c r="O103" s="82" t="n">
        <f aca="false">SUM(H103:N103)</f>
        <v>0</v>
      </c>
    </row>
    <row r="104" customFormat="false" ht="31.5" hidden="true" customHeight="false" outlineLevel="0" collapsed="false">
      <c r="A104" s="15"/>
      <c r="B104" s="80"/>
      <c r="C104" s="115" t="s">
        <v>211</v>
      </c>
      <c r="D104" s="94"/>
      <c r="E104" s="94"/>
      <c r="F104" s="94"/>
      <c r="G104" s="94"/>
      <c r="H104" s="125"/>
      <c r="I104" s="125"/>
      <c r="J104" s="125"/>
      <c r="K104" s="125"/>
      <c r="L104" s="125"/>
      <c r="M104" s="125"/>
      <c r="N104" s="125"/>
      <c r="O104" s="125"/>
    </row>
    <row r="105" customFormat="false" ht="31.5" hidden="true" customHeight="false" outlineLevel="0" collapsed="false">
      <c r="A105" s="15"/>
      <c r="B105" s="80"/>
      <c r="C105" s="115" t="s">
        <v>212</v>
      </c>
      <c r="D105" s="94"/>
      <c r="E105" s="94"/>
      <c r="F105" s="94"/>
      <c r="G105" s="94"/>
      <c r="H105" s="82"/>
      <c r="I105" s="82"/>
      <c r="J105" s="82"/>
      <c r="K105" s="82"/>
      <c r="L105" s="82"/>
      <c r="M105" s="82"/>
      <c r="N105" s="82"/>
      <c r="O105" s="82"/>
    </row>
    <row r="106" customFormat="false" ht="31.5" hidden="true" customHeight="false" outlineLevel="0" collapsed="false">
      <c r="A106" s="15"/>
      <c r="B106" s="80"/>
      <c r="C106" s="115" t="s">
        <v>213</v>
      </c>
      <c r="D106" s="98" t="n">
        <v>828</v>
      </c>
      <c r="E106" s="98" t="s">
        <v>178</v>
      </c>
      <c r="F106" s="98" t="s">
        <v>185</v>
      </c>
      <c r="G106" s="102" t="n">
        <v>500</v>
      </c>
      <c r="H106" s="82"/>
      <c r="I106" s="82"/>
      <c r="J106" s="82"/>
      <c r="K106" s="82"/>
      <c r="L106" s="82"/>
      <c r="M106" s="82"/>
      <c r="N106" s="82"/>
      <c r="O106" s="82" t="n">
        <f aca="false">SUM(H106:N106)</f>
        <v>0</v>
      </c>
    </row>
    <row r="107" customFormat="false" ht="63" hidden="true" customHeight="false" outlineLevel="0" collapsed="false">
      <c r="A107" s="15"/>
      <c r="B107" s="80"/>
      <c r="C107" s="115" t="s">
        <v>214</v>
      </c>
      <c r="D107" s="94"/>
      <c r="E107" s="94"/>
      <c r="F107" s="94"/>
      <c r="G107" s="94"/>
      <c r="H107" s="82"/>
      <c r="I107" s="82"/>
      <c r="J107" s="82"/>
      <c r="K107" s="82"/>
      <c r="L107" s="82"/>
      <c r="M107" s="82"/>
      <c r="N107" s="82"/>
      <c r="O107" s="82"/>
    </row>
    <row r="108" customFormat="false" ht="47.25" hidden="true" customHeight="false" outlineLevel="0" collapsed="false">
      <c r="A108" s="15"/>
      <c r="B108" s="80"/>
      <c r="C108" s="115" t="s">
        <v>215</v>
      </c>
      <c r="D108" s="94"/>
      <c r="E108" s="94"/>
      <c r="F108" s="94"/>
      <c r="G108" s="94"/>
      <c r="H108" s="125"/>
      <c r="I108" s="125"/>
      <c r="J108" s="125"/>
      <c r="K108" s="125"/>
      <c r="L108" s="125"/>
      <c r="M108" s="125"/>
      <c r="N108" s="125"/>
      <c r="O108" s="125"/>
    </row>
    <row r="109" customFormat="false" ht="15.75" hidden="true" customHeight="false" outlineLevel="0" collapsed="false">
      <c r="A109" s="15"/>
      <c r="B109" s="80"/>
      <c r="C109" s="115" t="s">
        <v>177</v>
      </c>
      <c r="D109" s="94"/>
      <c r="E109" s="94"/>
      <c r="F109" s="94"/>
      <c r="G109" s="94"/>
      <c r="H109" s="82"/>
      <c r="I109" s="82" t="n">
        <f aca="false">I30</f>
        <v>0</v>
      </c>
      <c r="J109" s="82" t="n">
        <f aca="false">J30</f>
        <v>0</v>
      </c>
      <c r="K109" s="82" t="n">
        <f aca="false">K30</f>
        <v>0</v>
      </c>
      <c r="L109" s="82" t="n">
        <f aca="false">L30</f>
        <v>0</v>
      </c>
      <c r="M109" s="82" t="n">
        <f aca="false">M30</f>
        <v>0</v>
      </c>
      <c r="N109" s="82" t="n">
        <f aca="false">N30</f>
        <v>0</v>
      </c>
      <c r="O109" s="82" t="n">
        <f aca="false">SUM(H109:N109)</f>
        <v>0</v>
      </c>
    </row>
    <row r="110" customFormat="false" ht="15.75" hidden="true" customHeight="false" outlineLevel="0" collapsed="false">
      <c r="A110" s="15"/>
      <c r="B110" s="80"/>
      <c r="C110" s="115" t="s">
        <v>216</v>
      </c>
      <c r="D110" s="94"/>
      <c r="E110" s="94"/>
      <c r="F110" s="94"/>
      <c r="G110" s="94"/>
      <c r="H110" s="82"/>
      <c r="I110" s="82"/>
      <c r="J110" s="82"/>
      <c r="K110" s="82"/>
      <c r="L110" s="82"/>
      <c r="M110" s="82"/>
      <c r="N110" s="82"/>
      <c r="O110" s="82"/>
    </row>
    <row r="111" customFormat="false" ht="25.5" hidden="false" customHeight="true" outlineLevel="0" collapsed="false">
      <c r="A111" s="11" t="s">
        <v>40</v>
      </c>
      <c r="B111" s="116"/>
      <c r="C111" s="117" t="s">
        <v>150</v>
      </c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7"/>
    </row>
    <row r="112" customFormat="false" ht="27" hidden="false" customHeight="true" outlineLevel="0" collapsed="false">
      <c r="A112" s="15"/>
      <c r="B112" s="59" t="s">
        <v>195</v>
      </c>
      <c r="C112" s="119" t="s">
        <v>210</v>
      </c>
      <c r="D112" s="98" t="n">
        <v>828</v>
      </c>
      <c r="E112" s="98" t="s">
        <v>178</v>
      </c>
      <c r="F112" s="98" t="s">
        <v>197</v>
      </c>
      <c r="G112" s="98" t="n">
        <v>200</v>
      </c>
      <c r="H112" s="82" t="n">
        <v>88921.3</v>
      </c>
      <c r="I112" s="99"/>
      <c r="J112" s="99"/>
      <c r="K112" s="99"/>
      <c r="L112" s="99"/>
      <c r="M112" s="99"/>
      <c r="N112" s="100"/>
      <c r="O112" s="82" t="n">
        <f aca="false">SUM(H112:N112)</f>
        <v>88921.3</v>
      </c>
    </row>
    <row r="113" customFormat="false" ht="27" hidden="false" customHeight="true" outlineLevel="0" collapsed="false">
      <c r="A113" s="15"/>
      <c r="B113" s="59"/>
      <c r="C113" s="119"/>
      <c r="D113" s="123" t="n">
        <v>828</v>
      </c>
      <c r="E113" s="123" t="s">
        <v>178</v>
      </c>
      <c r="F113" s="123" t="s">
        <v>224</v>
      </c>
      <c r="G113" s="123" t="n">
        <v>200</v>
      </c>
      <c r="H113" s="82"/>
      <c r="I113" s="99" t="n">
        <v>232128.7</v>
      </c>
      <c r="J113" s="126" t="n">
        <v>283868</v>
      </c>
      <c r="K113" s="126" t="n">
        <v>200000</v>
      </c>
      <c r="L113" s="126" t="n">
        <v>250000</v>
      </c>
      <c r="M113" s="126" t="n">
        <v>250000</v>
      </c>
      <c r="N113" s="131" t="n">
        <v>250000</v>
      </c>
      <c r="O113" s="82" t="n">
        <f aca="false">SUM(H113:N113)</f>
        <v>1465996.7</v>
      </c>
    </row>
    <row r="114" customFormat="false" ht="31.5" hidden="false" customHeight="false" outlineLevel="0" collapsed="false">
      <c r="A114" s="15"/>
      <c r="B114" s="59"/>
      <c r="C114" s="115" t="s">
        <v>211</v>
      </c>
      <c r="D114" s="94"/>
      <c r="E114" s="94"/>
      <c r="F114" s="94"/>
      <c r="G114" s="94"/>
      <c r="H114" s="125"/>
      <c r="I114" s="125"/>
      <c r="J114" s="125"/>
      <c r="K114" s="125"/>
      <c r="L114" s="125"/>
      <c r="M114" s="125"/>
      <c r="N114" s="125"/>
      <c r="O114" s="125"/>
    </row>
    <row r="115" customFormat="false" ht="31.5" hidden="false" customHeight="false" outlineLevel="0" collapsed="false">
      <c r="A115" s="15"/>
      <c r="B115" s="59"/>
      <c r="C115" s="115" t="s">
        <v>212</v>
      </c>
      <c r="D115" s="94"/>
      <c r="E115" s="94"/>
      <c r="F115" s="94"/>
      <c r="G115" s="94"/>
      <c r="H115" s="82"/>
      <c r="I115" s="82"/>
      <c r="J115" s="82"/>
      <c r="K115" s="82"/>
      <c r="L115" s="82"/>
      <c r="M115" s="82"/>
      <c r="N115" s="82"/>
      <c r="O115" s="82"/>
    </row>
    <row r="116" customFormat="false" ht="15.75" hidden="false" customHeight="false" outlineLevel="0" collapsed="false">
      <c r="A116" s="15"/>
      <c r="B116" s="59"/>
      <c r="C116" s="115" t="s">
        <v>213</v>
      </c>
      <c r="D116" s="94"/>
      <c r="E116" s="94"/>
      <c r="F116" s="94"/>
      <c r="G116" s="94"/>
      <c r="H116" s="82"/>
      <c r="I116" s="82"/>
      <c r="J116" s="82"/>
      <c r="K116" s="82"/>
      <c r="L116" s="82"/>
      <c r="M116" s="82"/>
      <c r="N116" s="82"/>
      <c r="O116" s="82"/>
    </row>
    <row r="117" customFormat="false" ht="63" hidden="false" customHeight="false" outlineLevel="0" collapsed="false">
      <c r="A117" s="15"/>
      <c r="B117" s="59"/>
      <c r="C117" s="115" t="s">
        <v>214</v>
      </c>
      <c r="D117" s="94"/>
      <c r="E117" s="94"/>
      <c r="F117" s="94"/>
      <c r="G117" s="94"/>
      <c r="H117" s="82"/>
      <c r="I117" s="82"/>
      <c r="J117" s="82"/>
      <c r="K117" s="82"/>
      <c r="L117" s="82"/>
      <c r="M117" s="82"/>
      <c r="N117" s="82"/>
      <c r="O117" s="82"/>
    </row>
    <row r="118" customFormat="false" ht="51.75" hidden="false" customHeight="true" outlineLevel="0" collapsed="false">
      <c r="A118" s="15"/>
      <c r="B118" s="59"/>
      <c r="C118" s="115" t="s">
        <v>215</v>
      </c>
      <c r="D118" s="94"/>
      <c r="E118" s="94"/>
      <c r="F118" s="94"/>
      <c r="G118" s="94"/>
      <c r="H118" s="82"/>
      <c r="I118" s="82"/>
      <c r="J118" s="82"/>
      <c r="K118" s="82"/>
      <c r="L118" s="82"/>
      <c r="M118" s="82"/>
      <c r="N118" s="82"/>
      <c r="O118" s="82"/>
    </row>
    <row r="119" customFormat="false" ht="22.5" hidden="false" customHeight="true" outlineLevel="0" collapsed="false">
      <c r="A119" s="15"/>
      <c r="B119" s="59"/>
      <c r="C119" s="115" t="s">
        <v>177</v>
      </c>
      <c r="D119" s="94"/>
      <c r="E119" s="94"/>
      <c r="F119" s="94"/>
      <c r="G119" s="94"/>
      <c r="H119" s="82"/>
      <c r="I119" s="82"/>
      <c r="J119" s="82"/>
      <c r="K119" s="82"/>
      <c r="L119" s="82"/>
      <c r="M119" s="82"/>
      <c r="N119" s="82"/>
      <c r="O119" s="82"/>
    </row>
    <row r="120" customFormat="false" ht="20.25" hidden="false" customHeight="true" outlineLevel="0" collapsed="false">
      <c r="A120" s="15"/>
      <c r="B120" s="59"/>
      <c r="C120" s="115" t="s">
        <v>216</v>
      </c>
      <c r="D120" s="94"/>
      <c r="E120" s="94"/>
      <c r="F120" s="94"/>
      <c r="G120" s="94"/>
      <c r="H120" s="82"/>
      <c r="I120" s="82"/>
      <c r="J120" s="82"/>
      <c r="K120" s="82"/>
      <c r="L120" s="82"/>
      <c r="M120" s="82"/>
      <c r="N120" s="82"/>
      <c r="O120" s="82"/>
    </row>
    <row r="121" customFormat="false" ht="24.75" hidden="false" customHeight="true" outlineLevel="0" collapsed="false">
      <c r="A121" s="11" t="s">
        <v>42</v>
      </c>
      <c r="B121" s="116"/>
      <c r="C121" s="117" t="s">
        <v>154</v>
      </c>
      <c r="D121" s="117"/>
      <c r="E121" s="117"/>
      <c r="F121" s="117"/>
      <c r="G121" s="117"/>
      <c r="H121" s="117"/>
      <c r="I121" s="117"/>
      <c r="J121" s="117"/>
      <c r="K121" s="117"/>
      <c r="L121" s="117"/>
      <c r="M121" s="117"/>
      <c r="N121" s="117"/>
      <c r="O121" s="117"/>
    </row>
    <row r="122" customFormat="false" ht="31.5" hidden="false" customHeight="true" outlineLevel="0" collapsed="false">
      <c r="A122" s="102"/>
      <c r="B122" s="102" t="s">
        <v>199</v>
      </c>
      <c r="C122" s="119" t="s">
        <v>210</v>
      </c>
      <c r="D122" s="98" t="n">
        <v>828</v>
      </c>
      <c r="E122" s="98" t="s">
        <v>178</v>
      </c>
      <c r="F122" s="98" t="s">
        <v>197</v>
      </c>
      <c r="G122" s="98" t="n">
        <v>200</v>
      </c>
      <c r="H122" s="99"/>
      <c r="I122" s="99"/>
      <c r="J122" s="99"/>
      <c r="K122" s="99"/>
      <c r="L122" s="99"/>
      <c r="M122" s="99"/>
      <c r="N122" s="99"/>
      <c r="O122" s="82" t="n">
        <f aca="false">SUM(H122:N122)</f>
        <v>0</v>
      </c>
    </row>
    <row r="123" customFormat="false" ht="27" hidden="false" customHeight="true" outlineLevel="0" collapsed="false">
      <c r="A123" s="102"/>
      <c r="B123" s="102"/>
      <c r="C123" s="119"/>
      <c r="D123" s="124" t="n">
        <v>828</v>
      </c>
      <c r="E123" s="124" t="s">
        <v>178</v>
      </c>
      <c r="F123" s="124" t="s">
        <v>225</v>
      </c>
      <c r="G123" s="124" t="n">
        <v>200</v>
      </c>
      <c r="H123" s="99"/>
      <c r="I123" s="99"/>
      <c r="J123" s="126" t="n">
        <f aca="false">166900+18000</f>
        <v>184900</v>
      </c>
      <c r="K123" s="126" t="n">
        <f aca="false">250000</f>
        <v>250000</v>
      </c>
      <c r="L123" s="126" t="n">
        <v>250000</v>
      </c>
      <c r="M123" s="126" t="n">
        <v>250000</v>
      </c>
      <c r="N123" s="126" t="n">
        <v>250000</v>
      </c>
      <c r="O123" s="82" t="n">
        <f aca="false">SUM(H123:N123)</f>
        <v>1184900</v>
      </c>
    </row>
    <row r="124" customFormat="false" ht="31.5" hidden="false" customHeight="false" outlineLevel="0" collapsed="false">
      <c r="A124" s="15"/>
      <c r="B124" s="15"/>
      <c r="C124" s="115" t="s">
        <v>211</v>
      </c>
      <c r="D124" s="94"/>
      <c r="E124" s="94"/>
      <c r="F124" s="94"/>
      <c r="G124" s="94"/>
      <c r="H124" s="125"/>
      <c r="I124" s="125"/>
      <c r="J124" s="125"/>
      <c r="K124" s="125"/>
      <c r="L124" s="125"/>
      <c r="M124" s="125"/>
      <c r="N124" s="125"/>
      <c r="O124" s="125"/>
    </row>
    <row r="125" customFormat="false" ht="31.5" hidden="false" customHeight="false" outlineLevel="0" collapsed="false">
      <c r="A125" s="15"/>
      <c r="B125" s="15"/>
      <c r="C125" s="115" t="s">
        <v>212</v>
      </c>
      <c r="D125" s="94"/>
      <c r="E125" s="94"/>
      <c r="F125" s="94"/>
      <c r="G125" s="94"/>
      <c r="H125" s="82"/>
      <c r="I125" s="82"/>
      <c r="J125" s="82"/>
      <c r="K125" s="82"/>
      <c r="L125" s="82"/>
      <c r="M125" s="82"/>
      <c r="N125" s="82"/>
      <c r="O125" s="82"/>
    </row>
    <row r="126" customFormat="false" ht="15.75" hidden="false" customHeight="false" outlineLevel="0" collapsed="false">
      <c r="A126" s="15"/>
      <c r="B126" s="15"/>
      <c r="C126" s="115" t="s">
        <v>213</v>
      </c>
      <c r="D126" s="94"/>
      <c r="E126" s="94"/>
      <c r="F126" s="94"/>
      <c r="G126" s="94"/>
      <c r="H126" s="82"/>
      <c r="I126" s="82"/>
      <c r="J126" s="82"/>
      <c r="K126" s="82"/>
      <c r="L126" s="82"/>
      <c r="M126" s="82"/>
      <c r="N126" s="82"/>
      <c r="O126" s="82"/>
    </row>
    <row r="127" customFormat="false" ht="63" hidden="false" customHeight="false" outlineLevel="0" collapsed="false">
      <c r="A127" s="15"/>
      <c r="B127" s="15"/>
      <c r="C127" s="115" t="s">
        <v>214</v>
      </c>
      <c r="D127" s="94"/>
      <c r="E127" s="94"/>
      <c r="F127" s="94"/>
      <c r="G127" s="94"/>
      <c r="H127" s="82"/>
      <c r="I127" s="82"/>
      <c r="J127" s="82"/>
      <c r="K127" s="82"/>
      <c r="L127" s="82"/>
      <c r="M127" s="82"/>
      <c r="N127" s="82"/>
      <c r="O127" s="82"/>
    </row>
    <row r="128" customFormat="false" ht="47.25" hidden="false" customHeight="false" outlineLevel="0" collapsed="false">
      <c r="A128" s="15"/>
      <c r="B128" s="15"/>
      <c r="C128" s="115" t="s">
        <v>215</v>
      </c>
      <c r="D128" s="94"/>
      <c r="E128" s="94"/>
      <c r="F128" s="94"/>
      <c r="G128" s="94"/>
      <c r="H128" s="82"/>
      <c r="I128" s="82"/>
      <c r="J128" s="82"/>
      <c r="K128" s="82"/>
      <c r="L128" s="82"/>
      <c r="M128" s="82"/>
      <c r="N128" s="82"/>
      <c r="O128" s="82"/>
    </row>
    <row r="129" customFormat="false" ht="23.25" hidden="false" customHeight="true" outlineLevel="0" collapsed="false">
      <c r="A129" s="15"/>
      <c r="B129" s="15"/>
      <c r="C129" s="115" t="s">
        <v>177</v>
      </c>
      <c r="D129" s="94"/>
      <c r="E129" s="94"/>
      <c r="F129" s="94"/>
      <c r="G129" s="94"/>
      <c r="H129" s="82"/>
      <c r="I129" s="82"/>
      <c r="J129" s="82"/>
      <c r="K129" s="82"/>
      <c r="L129" s="82"/>
      <c r="M129" s="82"/>
      <c r="N129" s="82"/>
      <c r="O129" s="82"/>
    </row>
    <row r="130" customFormat="false" ht="21.75" hidden="false" customHeight="true" outlineLevel="0" collapsed="false">
      <c r="A130" s="15"/>
      <c r="B130" s="15"/>
      <c r="C130" s="115" t="s">
        <v>216</v>
      </c>
      <c r="D130" s="94"/>
      <c r="E130" s="94"/>
      <c r="F130" s="94"/>
      <c r="G130" s="94"/>
      <c r="H130" s="82"/>
      <c r="I130" s="82"/>
      <c r="J130" s="82"/>
      <c r="K130" s="82"/>
      <c r="L130" s="82"/>
      <c r="M130" s="82"/>
      <c r="N130" s="82"/>
      <c r="O130" s="82"/>
    </row>
    <row r="131" customFormat="false" ht="35.25" hidden="true" customHeight="true" outlineLevel="0" collapsed="false">
      <c r="A131" s="11" t="s">
        <v>47</v>
      </c>
      <c r="B131" s="113"/>
      <c r="C131" s="117" t="s">
        <v>157</v>
      </c>
      <c r="D131" s="117"/>
      <c r="E131" s="117"/>
      <c r="F131" s="117"/>
      <c r="G131" s="117"/>
      <c r="H131" s="117"/>
      <c r="I131" s="117"/>
      <c r="J131" s="117"/>
      <c r="K131" s="117"/>
      <c r="L131" s="117"/>
      <c r="M131" s="117"/>
      <c r="N131" s="117"/>
      <c r="O131" s="117"/>
    </row>
    <row r="132" customFormat="false" ht="15.75" hidden="true" customHeight="true" outlineLevel="0" collapsed="false">
      <c r="A132" s="15"/>
      <c r="B132" s="80" t="s">
        <v>157</v>
      </c>
      <c r="C132" s="115" t="s">
        <v>210</v>
      </c>
      <c r="D132" s="94"/>
      <c r="E132" s="94"/>
      <c r="F132" s="94"/>
      <c r="G132" s="94"/>
      <c r="H132" s="82" t="n">
        <f aca="false">H36</f>
        <v>0</v>
      </c>
      <c r="I132" s="82" t="n">
        <v>0</v>
      </c>
      <c r="J132" s="82" t="n">
        <f aca="false">J36</f>
        <v>0</v>
      </c>
      <c r="K132" s="82" t="n">
        <f aca="false">K36</f>
        <v>0</v>
      </c>
      <c r="L132" s="82" t="n">
        <f aca="false">L36</f>
        <v>0</v>
      </c>
      <c r="M132" s="82" t="n">
        <f aca="false">M36</f>
        <v>0</v>
      </c>
      <c r="N132" s="82" t="n">
        <f aca="false">N36</f>
        <v>0</v>
      </c>
      <c r="O132" s="82" t="n">
        <f aca="false">SUM(H132:N132)</f>
        <v>0</v>
      </c>
    </row>
    <row r="133" customFormat="false" ht="31.5" hidden="true" customHeight="false" outlineLevel="0" collapsed="false">
      <c r="A133" s="15"/>
      <c r="B133" s="80"/>
      <c r="C133" s="115" t="s">
        <v>211</v>
      </c>
      <c r="D133" s="94"/>
      <c r="E133" s="94"/>
      <c r="F133" s="94"/>
      <c r="G133" s="94"/>
      <c r="H133" s="125"/>
      <c r="I133" s="125"/>
      <c r="J133" s="125"/>
      <c r="K133" s="125"/>
      <c r="L133" s="125"/>
      <c r="M133" s="125"/>
      <c r="N133" s="125"/>
      <c r="O133" s="125"/>
    </row>
    <row r="134" customFormat="false" ht="31.5" hidden="true" customHeight="false" outlineLevel="0" collapsed="false">
      <c r="A134" s="15"/>
      <c r="B134" s="80"/>
      <c r="C134" s="115" t="s">
        <v>212</v>
      </c>
      <c r="D134" s="94"/>
      <c r="E134" s="94"/>
      <c r="F134" s="94"/>
      <c r="G134" s="94"/>
      <c r="H134" s="82"/>
      <c r="I134" s="82"/>
      <c r="J134" s="82"/>
      <c r="K134" s="82"/>
      <c r="L134" s="82"/>
      <c r="M134" s="82"/>
      <c r="N134" s="82"/>
      <c r="O134" s="82"/>
    </row>
    <row r="135" customFormat="false" ht="15.75" hidden="true" customHeight="false" outlineLevel="0" collapsed="false">
      <c r="A135" s="15"/>
      <c r="B135" s="80"/>
      <c r="C135" s="115" t="s">
        <v>213</v>
      </c>
      <c r="D135" s="94"/>
      <c r="E135" s="94"/>
      <c r="F135" s="94"/>
      <c r="G135" s="94"/>
      <c r="H135" s="82"/>
      <c r="I135" s="82"/>
      <c r="J135" s="82"/>
      <c r="K135" s="82"/>
      <c r="L135" s="82"/>
      <c r="M135" s="82"/>
      <c r="N135" s="82"/>
      <c r="O135" s="82"/>
    </row>
    <row r="136" customFormat="false" ht="63" hidden="true" customHeight="false" outlineLevel="0" collapsed="false">
      <c r="A136" s="15"/>
      <c r="B136" s="80"/>
      <c r="C136" s="115" t="s">
        <v>214</v>
      </c>
      <c r="D136" s="94"/>
      <c r="E136" s="94"/>
      <c r="F136" s="94"/>
      <c r="G136" s="94"/>
      <c r="H136" s="82"/>
      <c r="I136" s="82"/>
      <c r="J136" s="82"/>
      <c r="K136" s="82"/>
      <c r="L136" s="82"/>
      <c r="M136" s="82"/>
      <c r="N136" s="82"/>
      <c r="O136" s="82"/>
    </row>
    <row r="137" customFormat="false" ht="54.75" hidden="true" customHeight="true" outlineLevel="0" collapsed="false">
      <c r="A137" s="15"/>
      <c r="B137" s="80"/>
      <c r="C137" s="115" t="s">
        <v>215</v>
      </c>
      <c r="D137" s="94"/>
      <c r="E137" s="94"/>
      <c r="F137" s="94"/>
      <c r="G137" s="94"/>
      <c r="H137" s="82"/>
      <c r="I137" s="82"/>
      <c r="J137" s="82"/>
      <c r="K137" s="82"/>
      <c r="L137" s="82"/>
      <c r="M137" s="82"/>
      <c r="N137" s="82"/>
      <c r="O137" s="82"/>
    </row>
    <row r="138" customFormat="false" ht="27.75" hidden="true" customHeight="true" outlineLevel="0" collapsed="false">
      <c r="A138" s="15"/>
      <c r="B138" s="80"/>
      <c r="C138" s="115" t="s">
        <v>177</v>
      </c>
      <c r="D138" s="94"/>
      <c r="E138" s="94"/>
      <c r="F138" s="94"/>
      <c r="G138" s="94"/>
      <c r="H138" s="82"/>
      <c r="I138" s="82"/>
      <c r="J138" s="82"/>
      <c r="K138" s="82"/>
      <c r="L138" s="82"/>
      <c r="M138" s="82"/>
      <c r="N138" s="82"/>
      <c r="O138" s="82"/>
    </row>
    <row r="139" customFormat="false" ht="30" hidden="true" customHeight="true" outlineLevel="0" collapsed="false">
      <c r="A139" s="15"/>
      <c r="B139" s="80"/>
      <c r="C139" s="115" t="s">
        <v>216</v>
      </c>
      <c r="D139" s="94"/>
      <c r="E139" s="94"/>
      <c r="F139" s="94"/>
      <c r="G139" s="94"/>
      <c r="H139" s="82"/>
      <c r="I139" s="82"/>
      <c r="J139" s="82"/>
      <c r="K139" s="82"/>
      <c r="L139" s="82"/>
      <c r="M139" s="82"/>
      <c r="N139" s="82"/>
      <c r="O139" s="82"/>
    </row>
    <row r="140" customFormat="false" ht="29.25" hidden="false" customHeight="true" outlineLevel="0" collapsed="false">
      <c r="A140" s="11" t="s">
        <v>45</v>
      </c>
      <c r="B140" s="80"/>
      <c r="C140" s="117" t="s">
        <v>162</v>
      </c>
      <c r="D140" s="117"/>
      <c r="E140" s="117"/>
      <c r="F140" s="117"/>
      <c r="G140" s="117"/>
      <c r="H140" s="117"/>
      <c r="I140" s="117"/>
      <c r="J140" s="117"/>
      <c r="K140" s="117"/>
      <c r="L140" s="117"/>
      <c r="M140" s="117"/>
      <c r="N140" s="117"/>
      <c r="O140" s="117"/>
    </row>
    <row r="141" customFormat="false" ht="31.5" hidden="false" customHeight="true" outlineLevel="0" collapsed="false">
      <c r="A141" s="15"/>
      <c r="B141" s="80" t="s">
        <v>204</v>
      </c>
      <c r="C141" s="119" t="s">
        <v>210</v>
      </c>
      <c r="D141" s="98" t="n">
        <v>828</v>
      </c>
      <c r="E141" s="98" t="s">
        <v>178</v>
      </c>
      <c r="F141" s="98" t="s">
        <v>179</v>
      </c>
      <c r="G141" s="98" t="n">
        <v>200</v>
      </c>
      <c r="H141" s="82" t="n">
        <v>34176.2</v>
      </c>
      <c r="I141" s="82"/>
      <c r="J141" s="82"/>
      <c r="K141" s="82"/>
      <c r="L141" s="82"/>
      <c r="M141" s="82"/>
      <c r="N141" s="95"/>
      <c r="O141" s="82" t="n">
        <f aca="false">SUM(H141:N141)</f>
        <v>34176.2</v>
      </c>
    </row>
    <row r="142" customFormat="false" ht="29.25" hidden="false" customHeight="true" outlineLevel="0" collapsed="false">
      <c r="A142" s="15"/>
      <c r="B142" s="80"/>
      <c r="C142" s="119"/>
      <c r="D142" s="98" t="n">
        <v>828</v>
      </c>
      <c r="E142" s="98" t="s">
        <v>178</v>
      </c>
      <c r="F142" s="98" t="s">
        <v>179</v>
      </c>
      <c r="G142" s="98" t="n">
        <v>800</v>
      </c>
      <c r="H142" s="82" t="n">
        <v>587</v>
      </c>
      <c r="I142" s="82"/>
      <c r="J142" s="82"/>
      <c r="K142" s="82"/>
      <c r="L142" s="82"/>
      <c r="M142" s="82"/>
      <c r="N142" s="95"/>
      <c r="O142" s="82" t="n">
        <f aca="false">SUM(H142:N142)</f>
        <v>587</v>
      </c>
    </row>
    <row r="143" customFormat="false" ht="30" hidden="false" customHeight="true" outlineLevel="0" collapsed="false">
      <c r="A143" s="15"/>
      <c r="B143" s="80"/>
      <c r="C143" s="119"/>
      <c r="D143" s="98" t="n">
        <v>828</v>
      </c>
      <c r="E143" s="98" t="s">
        <v>178</v>
      </c>
      <c r="F143" s="98" t="s">
        <v>197</v>
      </c>
      <c r="G143" s="98" t="n">
        <v>200</v>
      </c>
      <c r="H143" s="99" t="n">
        <v>32508.6</v>
      </c>
      <c r="I143" s="82"/>
      <c r="J143" s="82"/>
      <c r="K143" s="82"/>
      <c r="L143" s="82"/>
      <c r="M143" s="82"/>
      <c r="N143" s="95"/>
      <c r="O143" s="82" t="n">
        <f aca="false">SUM(H143:N143)</f>
        <v>32508.6</v>
      </c>
    </row>
    <row r="144" customFormat="false" ht="30" hidden="false" customHeight="true" outlineLevel="0" collapsed="false">
      <c r="A144" s="15"/>
      <c r="B144" s="80"/>
      <c r="C144" s="119"/>
      <c r="D144" s="98" t="n">
        <v>828</v>
      </c>
      <c r="E144" s="98" t="s">
        <v>178</v>
      </c>
      <c r="F144" s="98" t="s">
        <v>197</v>
      </c>
      <c r="G144" s="98" t="n">
        <v>800</v>
      </c>
      <c r="H144" s="99" t="n">
        <v>8883.2</v>
      </c>
      <c r="I144" s="132"/>
      <c r="J144" s="132"/>
      <c r="K144" s="132"/>
      <c r="L144" s="132"/>
      <c r="M144" s="132"/>
      <c r="N144" s="133"/>
      <c r="O144" s="82" t="n">
        <f aca="false">SUM(H144:N144)</f>
        <v>8883.2</v>
      </c>
    </row>
    <row r="145" customFormat="false" ht="30" hidden="false" customHeight="true" outlineLevel="0" collapsed="false">
      <c r="A145" s="15"/>
      <c r="B145" s="80"/>
      <c r="C145" s="119"/>
      <c r="D145" s="123" t="n">
        <v>828</v>
      </c>
      <c r="E145" s="123" t="s">
        <v>178</v>
      </c>
      <c r="F145" s="123" t="s">
        <v>226</v>
      </c>
      <c r="G145" s="124" t="n">
        <v>200</v>
      </c>
      <c r="H145" s="99"/>
      <c r="I145" s="132" t="n">
        <f aca="false">49568.9+38477.2</f>
        <v>88046.1</v>
      </c>
      <c r="J145" s="132" t="n">
        <f aca="false">49000+53000</f>
        <v>102000</v>
      </c>
      <c r="K145" s="132" t="n">
        <v>105600</v>
      </c>
      <c r="L145" s="132" t="n">
        <v>105000</v>
      </c>
      <c r="M145" s="132" t="n">
        <v>105000</v>
      </c>
      <c r="N145" s="132" t="n">
        <v>105000</v>
      </c>
      <c r="O145" s="82" t="n">
        <f aca="false">SUM(H145:N145)</f>
        <v>610646.1</v>
      </c>
    </row>
    <row r="146" customFormat="false" ht="30" hidden="false" customHeight="true" outlineLevel="0" collapsed="false">
      <c r="A146" s="15"/>
      <c r="B146" s="80"/>
      <c r="C146" s="119"/>
      <c r="D146" s="123" t="n">
        <v>828</v>
      </c>
      <c r="E146" s="123" t="s">
        <v>178</v>
      </c>
      <c r="F146" s="123" t="s">
        <v>226</v>
      </c>
      <c r="G146" s="123" t="n">
        <v>800</v>
      </c>
      <c r="H146" s="99"/>
      <c r="I146" s="132" t="n">
        <v>10790.8</v>
      </c>
      <c r="J146" s="132"/>
      <c r="K146" s="132"/>
      <c r="L146" s="132"/>
      <c r="M146" s="132"/>
      <c r="N146" s="133"/>
      <c r="O146" s="82" t="n">
        <f aca="false">SUM(H146:N146)</f>
        <v>10790.8</v>
      </c>
    </row>
    <row r="147" customFormat="false" ht="31.5" hidden="false" customHeight="false" outlineLevel="0" collapsed="false">
      <c r="A147" s="15"/>
      <c r="B147" s="80"/>
      <c r="C147" s="115" t="s">
        <v>211</v>
      </c>
      <c r="D147" s="94"/>
      <c r="E147" s="94"/>
      <c r="F147" s="94"/>
      <c r="G147" s="94"/>
      <c r="H147" s="82"/>
      <c r="I147" s="82"/>
      <c r="J147" s="82"/>
      <c r="K147" s="82"/>
      <c r="L147" s="82"/>
      <c r="M147" s="82"/>
      <c r="N147" s="82"/>
      <c r="O147" s="82"/>
    </row>
    <row r="148" customFormat="false" ht="31.5" hidden="false" customHeight="false" outlineLevel="0" collapsed="false">
      <c r="A148" s="15"/>
      <c r="B148" s="80"/>
      <c r="C148" s="115" t="s">
        <v>212</v>
      </c>
      <c r="D148" s="94"/>
      <c r="E148" s="94"/>
      <c r="F148" s="94"/>
      <c r="G148" s="94"/>
      <c r="H148" s="82"/>
      <c r="I148" s="82"/>
      <c r="J148" s="82"/>
      <c r="K148" s="82"/>
      <c r="L148" s="82"/>
      <c r="M148" s="82"/>
      <c r="N148" s="82"/>
      <c r="O148" s="82"/>
    </row>
    <row r="149" customFormat="false" ht="22.5" hidden="false" customHeight="true" outlineLevel="0" collapsed="false">
      <c r="A149" s="15"/>
      <c r="B149" s="80"/>
      <c r="C149" s="115" t="s">
        <v>213</v>
      </c>
      <c r="D149" s="94"/>
      <c r="E149" s="94"/>
      <c r="F149" s="94"/>
      <c r="G149" s="94"/>
      <c r="H149" s="82"/>
      <c r="I149" s="82"/>
      <c r="J149" s="82"/>
      <c r="K149" s="82"/>
      <c r="L149" s="82"/>
      <c r="M149" s="82"/>
      <c r="N149" s="82"/>
      <c r="O149" s="82"/>
    </row>
    <row r="150" customFormat="false" ht="63" hidden="false" customHeight="false" outlineLevel="0" collapsed="false">
      <c r="A150" s="15"/>
      <c r="B150" s="80"/>
      <c r="C150" s="115" t="s">
        <v>214</v>
      </c>
      <c r="D150" s="94"/>
      <c r="E150" s="94"/>
      <c r="F150" s="94"/>
      <c r="G150" s="94"/>
      <c r="H150" s="82"/>
      <c r="I150" s="82"/>
      <c r="J150" s="82"/>
      <c r="K150" s="82"/>
      <c r="L150" s="82"/>
      <c r="M150" s="82"/>
      <c r="N150" s="82"/>
      <c r="O150" s="82"/>
    </row>
    <row r="151" customFormat="false" ht="49.5" hidden="false" customHeight="true" outlineLevel="0" collapsed="false">
      <c r="A151" s="15"/>
      <c r="B151" s="80"/>
      <c r="C151" s="115" t="s">
        <v>215</v>
      </c>
      <c r="D151" s="94"/>
      <c r="E151" s="94"/>
      <c r="F151" s="94"/>
      <c r="G151" s="94"/>
      <c r="H151" s="82"/>
      <c r="I151" s="82"/>
      <c r="J151" s="82"/>
      <c r="K151" s="82"/>
      <c r="L151" s="82"/>
      <c r="M151" s="82"/>
      <c r="N151" s="82"/>
      <c r="O151" s="82"/>
    </row>
    <row r="152" customFormat="false" ht="18" hidden="false" customHeight="true" outlineLevel="0" collapsed="false">
      <c r="A152" s="15"/>
      <c r="B152" s="80"/>
      <c r="C152" s="115" t="s">
        <v>177</v>
      </c>
      <c r="D152" s="94"/>
      <c r="E152" s="94"/>
      <c r="F152" s="94"/>
      <c r="G152" s="94"/>
      <c r="H152" s="82"/>
      <c r="I152" s="82"/>
      <c r="J152" s="82"/>
      <c r="K152" s="82"/>
      <c r="L152" s="82"/>
      <c r="M152" s="82"/>
      <c r="N152" s="82"/>
      <c r="O152" s="82"/>
    </row>
    <row r="153" customFormat="false" ht="15.75" hidden="false" customHeight="false" outlineLevel="0" collapsed="false">
      <c r="A153" s="15"/>
      <c r="B153" s="80"/>
      <c r="C153" s="115" t="s">
        <v>216</v>
      </c>
      <c r="D153" s="94"/>
      <c r="E153" s="94"/>
      <c r="F153" s="94"/>
      <c r="G153" s="94"/>
      <c r="H153" s="82"/>
      <c r="I153" s="82"/>
      <c r="J153" s="82"/>
      <c r="K153" s="82"/>
      <c r="L153" s="82"/>
      <c r="M153" s="82"/>
      <c r="N153" s="82"/>
      <c r="O153" s="82"/>
    </row>
    <row r="154" customFormat="false" ht="30" hidden="false" customHeight="true" outlineLevel="0" collapsed="false">
      <c r="A154" s="125"/>
      <c r="B154" s="125"/>
      <c r="C154" s="134" t="s">
        <v>227</v>
      </c>
      <c r="D154" s="125"/>
      <c r="E154" s="125"/>
      <c r="F154" s="125"/>
      <c r="G154" s="125"/>
      <c r="H154" s="125"/>
      <c r="I154" s="125"/>
      <c r="J154" s="125"/>
      <c r="K154" s="125"/>
      <c r="L154" s="125"/>
      <c r="M154" s="125"/>
      <c r="N154" s="125"/>
      <c r="O154" s="125"/>
    </row>
  </sheetData>
  <mergeCells count="61">
    <mergeCell ref="A2:O2"/>
    <mergeCell ref="A5:A6"/>
    <mergeCell ref="B5:B6"/>
    <mergeCell ref="C5:C6"/>
    <mergeCell ref="D5:G5"/>
    <mergeCell ref="H5:O5"/>
    <mergeCell ref="D6:G6"/>
    <mergeCell ref="A8:A11"/>
    <mergeCell ref="B8:B11"/>
    <mergeCell ref="B12:B16"/>
    <mergeCell ref="A14:A16"/>
    <mergeCell ref="B17:B19"/>
    <mergeCell ref="B20:B23"/>
    <mergeCell ref="B24:B26"/>
    <mergeCell ref="B27:B30"/>
    <mergeCell ref="B31:B33"/>
    <mergeCell ref="B34:B35"/>
    <mergeCell ref="B36:B37"/>
    <mergeCell ref="B38:B39"/>
    <mergeCell ref="A42:A43"/>
    <mergeCell ref="B42:B43"/>
    <mergeCell ref="C42:C43"/>
    <mergeCell ref="D42:G42"/>
    <mergeCell ref="H42:O42"/>
    <mergeCell ref="D43:G43"/>
    <mergeCell ref="C45:O45"/>
    <mergeCell ref="B46:B53"/>
    <mergeCell ref="C54:O54"/>
    <mergeCell ref="A55:A63"/>
    <mergeCell ref="B55:B70"/>
    <mergeCell ref="C55:C63"/>
    <mergeCell ref="C71:O71"/>
    <mergeCell ref="A72:A73"/>
    <mergeCell ref="B72:B80"/>
    <mergeCell ref="C72:C73"/>
    <mergeCell ref="C81:O81"/>
    <mergeCell ref="A82:A83"/>
    <mergeCell ref="B82:B91"/>
    <mergeCell ref="C82:C83"/>
    <mergeCell ref="A86:A87"/>
    <mergeCell ref="C86:C87"/>
    <mergeCell ref="C92:O92"/>
    <mergeCell ref="A93:A94"/>
    <mergeCell ref="B93:B101"/>
    <mergeCell ref="C93:C94"/>
    <mergeCell ref="C102:O102"/>
    <mergeCell ref="B103:B110"/>
    <mergeCell ref="C111:O111"/>
    <mergeCell ref="A112:A113"/>
    <mergeCell ref="B112:B120"/>
    <mergeCell ref="C112:C113"/>
    <mergeCell ref="C121:O121"/>
    <mergeCell ref="A122:A123"/>
    <mergeCell ref="B122:B123"/>
    <mergeCell ref="C122:C123"/>
    <mergeCell ref="C131:O131"/>
    <mergeCell ref="B132:B139"/>
    <mergeCell ref="C140:O140"/>
    <mergeCell ref="A141:A146"/>
    <mergeCell ref="B141:B153"/>
    <mergeCell ref="C141:C146"/>
  </mergeCells>
  <printOptions headings="false" gridLines="false" gridLinesSet="true" horizontalCentered="true" verticalCentered="false"/>
  <pageMargins left="0.590277777777778" right="0.590277777777778" top="0.590972222222222" bottom="0.590277777777778" header="0.315277777777778" footer="0.511811023622047"/>
  <pageSetup paperSize="9" scale="100" fitToWidth="1" fitToHeight="16" pageOrder="downThenOver" orientation="landscape" blackAndWhite="false" draft="false" cellComments="none" firstPageNumber="41" useFirstPageNumber="true" horizontalDpi="300" verticalDpi="300" copies="1"/>
  <headerFooter differentFirst="false" differentOddEven="false">
    <oddHeader>&amp;C&amp;P</oddHeader>
    <oddFooter/>
  </headerFooter>
  <rowBreaks count="5" manualBreakCount="5">
    <brk id="67" man="true" max="16383" min="0"/>
    <brk id="70" man="true" max="16383" min="0"/>
    <brk id="91" man="true" max="16383" min="0"/>
    <brk id="99" man="true" max="16383" min="0"/>
    <brk id="127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2023-03-30T13:12:42Z</dcterms:created>
  <dc:creator>Кондакова Анна Юрьевна</dc:creator>
  <dc:description/>
  <dc:language>ru-RU</dc:language>
  <cp:lastModifiedBy/>
  <cp:lastPrinted>2024-12-23T11:46:31Z</cp:lastPrinted>
  <dcterms:modified xsi:type="dcterms:W3CDTF">2024-12-23T11:46:09Z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