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25.11.24 для бюдж.уточ СтОск км" sheetId="1" state="visible" r:id="rId3"/>
  </sheets>
  <definedNames>
    <definedName function="false" hidden="false" localSheetId="0" name="_xlnm.Print_Area" vbProcedure="false">'25.11.24 для бюдж.уточ СтОск км'!$A$1:$V$226</definedName>
    <definedName function="false" hidden="false" localSheetId="0" name="_xlnm.Print_Titles" vbProcedure="false">'25.11.24 для бюдж.уточ СтОск км'!$5:$8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<sst xmlns="http://schemas.openxmlformats.org/spreadsheetml/2006/main" count="269" uniqueCount="230">
  <si>
    <t xml:space="preserve">                                                Приложение № 9                                                                            к государственной программе Белгородской области                                          «Совершенствование и развитие транспортной системы                              и  дорожной сети  Белгородской области»  </t>
  </si>
  <si>
    <t xml:space="preserve"> Перечень объектов капитального ремонта и ремонта автодорог местного значения и искусственных сооружений на них в Белгородской области на 2024 - 2026 годы    </t>
  </si>
  <si>
    <t xml:space="preserve">    №    п/п</t>
  </si>
  <si>
    <t xml:space="preserve">     Наименование муниципальных районов, городских       и муниципальных округов, поселений, населенных пунктов</t>
  </si>
  <si>
    <t xml:space="preserve">2024 год</t>
  </si>
  <si>
    <t xml:space="preserve">2025 год</t>
  </si>
  <si>
    <t xml:space="preserve">2026 год</t>
  </si>
  <si>
    <t xml:space="preserve">2027 год</t>
  </si>
  <si>
    <t xml:space="preserve">    </t>
  </si>
  <si>
    <t xml:space="preserve">Протяженность</t>
  </si>
  <si>
    <t xml:space="preserve">     Стоимость              ВСЕГО,        тыс. рублей</t>
  </si>
  <si>
    <t xml:space="preserve">в том числе</t>
  </si>
  <si>
    <t xml:space="preserve">     Стоимость               ВСЕГО,        тыс. рублей</t>
  </si>
  <si>
    <t xml:space="preserve">    Стоимость             ВСЕГО,         тыс. рублей</t>
  </si>
  <si>
    <t xml:space="preserve">Стоимость ВСЕГО,                   тыс. рублей</t>
  </si>
  <si>
    <t xml:space="preserve">км </t>
  </si>
  <si>
    <t xml:space="preserve">п.м</t>
  </si>
  <si>
    <t xml:space="preserve">        субсидии           из областного бюджета</t>
  </si>
  <si>
    <t xml:space="preserve">муници-пальный бюджет</t>
  </si>
  <si>
    <t xml:space="preserve">    субсидии      из областного бюджета</t>
  </si>
  <si>
    <t xml:space="preserve">   субсидии    из областного бюджета</t>
  </si>
  <si>
    <t xml:space="preserve">областной бюджет</t>
  </si>
  <si>
    <t xml:space="preserve">Комплекс процессных мероприятий «Обеспечение сохранности существующей сети автомобильных дорог и безопасности дорожного движения»</t>
  </si>
  <si>
    <t xml:space="preserve"> </t>
  </si>
  <si>
    <t xml:space="preserve">Отремонтировано автодорог и мостов местного значения</t>
  </si>
  <si>
    <t xml:space="preserve">ВСЕГО</t>
  </si>
  <si>
    <t xml:space="preserve">в том числе:</t>
  </si>
  <si>
    <t xml:space="preserve">субсидии из областного бюджета</t>
  </si>
  <si>
    <t xml:space="preserve">средства  бюджетов муниципальных образований</t>
  </si>
  <si>
    <t xml:space="preserve">Алексеевский муниципальный округ</t>
  </si>
  <si>
    <t xml:space="preserve">Ремонт улично-дорожной сети городского округа,      в том числе</t>
  </si>
  <si>
    <t xml:space="preserve"> г. Алексеевка, ул. Н. Рубана                </t>
  </si>
  <si>
    <t xml:space="preserve">г. Алексеевка, ул. Л. Толстого        </t>
  </si>
  <si>
    <t xml:space="preserve">г. Алексеевка, ул. Кривошеина</t>
  </si>
  <si>
    <t xml:space="preserve">г. Алексеевка, ул. Тихая Сосна </t>
  </si>
  <si>
    <t xml:space="preserve">г. Алексеевка, ул. Нижняя </t>
  </si>
  <si>
    <t xml:space="preserve">г. Алексеевка, ул. Песчаная </t>
  </si>
  <si>
    <t xml:space="preserve">г. Алексеевка, ул. Каштановая</t>
  </si>
  <si>
    <t xml:space="preserve">г. Алексеевка, ул. Маяковского</t>
  </si>
  <si>
    <t xml:space="preserve">г. Алексеевка, пер. Острогожский</t>
  </si>
  <si>
    <t xml:space="preserve">г. Алексеевка, ул. Мостовая </t>
  </si>
  <si>
    <t xml:space="preserve">г. Алексеевка, пер. Фрунзе</t>
  </si>
  <si>
    <t xml:space="preserve">Белгородский район</t>
  </si>
  <si>
    <t xml:space="preserve">Капитальный ремонт автодорог в МКР ИЖС,              в том числе</t>
  </si>
  <si>
    <t xml:space="preserve">с. Репное, МКР «Европа», ул. Парижская</t>
  </si>
  <si>
    <t xml:space="preserve">   </t>
  </si>
  <si>
    <t xml:space="preserve">МКР ИЖС Пушкарное, проезд между ул. Ратная         и ул. Дозорная</t>
  </si>
  <si>
    <t xml:space="preserve">МКР ИЖС «Майский - 8»</t>
  </si>
  <si>
    <t xml:space="preserve">МКР ИЖС «Княжеский»</t>
  </si>
  <si>
    <t xml:space="preserve">МКР ИЖС «Лесной»</t>
  </si>
  <si>
    <t xml:space="preserve">МКР ИЖС «Новосадовый - 41», проезды</t>
  </si>
  <si>
    <t xml:space="preserve">МКР ИЖС «Пушкарное - 78» (2-я очередь)</t>
  </si>
  <si>
    <t xml:space="preserve">МКР ИЖС «Стрелецкое - 73/1»</t>
  </si>
  <si>
    <t xml:space="preserve">МКР ИЖС «Стрелецкое - 73/2 (2-я очередь)»</t>
  </si>
  <si>
    <t xml:space="preserve">Ремонт автодорог в МКР ИЖС, в том числе</t>
  </si>
  <si>
    <t xml:space="preserve">МКР ИЖС «Шишино - 84»</t>
  </si>
  <si>
    <t xml:space="preserve">Ремонт автодороги к СНТ «Авиатор»</t>
  </si>
  <si>
    <t xml:space="preserve">МКР ИЖС «Майский - 80»</t>
  </si>
  <si>
    <t xml:space="preserve">МКР ИЖС «Разумное - 81»</t>
  </si>
  <si>
    <t xml:space="preserve">МКР ИЖС «Пушкарное - 78»</t>
  </si>
  <si>
    <t xml:space="preserve">МКР ИЖС «Тополек»</t>
  </si>
  <si>
    <t xml:space="preserve">МКР ИЖС «Новосадовый - 41», «Новые сады»</t>
  </si>
  <si>
    <t xml:space="preserve">МКР ИЖС «Стрелецкое - 83»</t>
  </si>
  <si>
    <t xml:space="preserve">п. Новосадовый, МКР ИЖС «Новосадовый - 26»,      ул. Тенистая</t>
  </si>
  <si>
    <t xml:space="preserve">Борисовский район</t>
  </si>
  <si>
    <t xml:space="preserve">Ремонт улично-дорожной сети района, в том числе</t>
  </si>
  <si>
    <t xml:space="preserve">п. Борисовка, ул. Терновая</t>
  </si>
  <si>
    <t xml:space="preserve">п. Борисовка, ул. Ленина</t>
  </si>
  <si>
    <t xml:space="preserve">Ремонт мостов через реку Локня в с.Красный Куток</t>
  </si>
  <si>
    <t xml:space="preserve">п. Борисовка, ул. Советская</t>
  </si>
  <si>
    <t xml:space="preserve">Валуйский муниципальный округ</t>
  </si>
  <si>
    <t xml:space="preserve">Ремонт улично-дорожной сети городского округа,        в том числе</t>
  </si>
  <si>
    <t xml:space="preserve">Ремонт автодороги по ул. 1 Мая в г. Валуйки</t>
  </si>
  <si>
    <t xml:space="preserve">п. Уразово</t>
  </si>
  <si>
    <t xml:space="preserve">Ремонт автодороги от подсобного хозяйства                  (с. Новая Симоновка) до Свято-Николаевского собора (МКР Раздолье)</t>
  </si>
  <si>
    <t xml:space="preserve">г. Валуйки, ул. Никольская</t>
  </si>
  <si>
    <t xml:space="preserve">Ремонт автодороги от с.Поминово до с. Гладково </t>
  </si>
  <si>
    <t xml:space="preserve">с. Принцевка, ул. Кольцевая</t>
  </si>
  <si>
    <t xml:space="preserve">г. Валуйки, ул. Щорса</t>
  </si>
  <si>
    <t xml:space="preserve">Вейделевский район</t>
  </si>
  <si>
    <t xml:space="preserve">Волоконовский район</t>
  </si>
  <si>
    <t xml:space="preserve">п. Волоконовка, ул. Королева </t>
  </si>
  <si>
    <t xml:space="preserve">х. Волчий, ул. Калинина </t>
  </si>
  <si>
    <t xml:space="preserve">с. Фощеватово, ул. Лесная</t>
  </si>
  <si>
    <t xml:space="preserve">с. Фощеватово, ул. Петровская</t>
  </si>
  <si>
    <t xml:space="preserve">с. Фощеватово, ул. Горная</t>
  </si>
  <si>
    <t xml:space="preserve">с. Фощеватово, ул. Набережная</t>
  </si>
  <si>
    <t xml:space="preserve">с. Фощеватово, ул. Раздольная</t>
  </si>
  <si>
    <t xml:space="preserve">х. Волчий Первый, ул. Дачная</t>
  </si>
  <si>
    <t xml:space="preserve">п. Волоконовка, ул. Сибирский Проезд</t>
  </si>
  <si>
    <t xml:space="preserve">с. Шеншиновка, ул. Садовая</t>
  </si>
  <si>
    <t xml:space="preserve">Капитальный ремонт улично - дорожной сети района, в том числе</t>
  </si>
  <si>
    <t xml:space="preserve">Капитальный ремонт автодороги  ул. Ленина -              ул. Нестерова, п. Волоконовка</t>
  </si>
  <si>
    <t xml:space="preserve">Грайворонский муниципальный округ</t>
  </si>
  <si>
    <t xml:space="preserve">     </t>
  </si>
  <si>
    <t xml:space="preserve">Губкинский городской округ</t>
  </si>
  <si>
    <t xml:space="preserve">г. Грайворон, ул. Пролетарская</t>
  </si>
  <si>
    <t xml:space="preserve">г. Грайворон, ул. Горького </t>
  </si>
  <si>
    <t xml:space="preserve">с. Головчино, ул. Карла Маркса </t>
  </si>
  <si>
    <t xml:space="preserve">с. Головчино, ул. 2-я Советская (I-я очередь)</t>
  </si>
  <si>
    <t xml:space="preserve">с. Головчино, ул. 2-я Советская (II-я очередь)</t>
  </si>
  <si>
    <t xml:space="preserve">х. Тополи - с. Антоновка</t>
  </si>
  <si>
    <t xml:space="preserve">с. Ивановская Лисица, ул. Ленина</t>
  </si>
  <si>
    <t xml:space="preserve">Ивнянский район</t>
  </si>
  <si>
    <t xml:space="preserve">ремонт автодороги с. Покровка - х. Красная Поляна - х. Береговой</t>
  </si>
  <si>
    <t xml:space="preserve">      </t>
  </si>
  <si>
    <t xml:space="preserve">п. Ивня, ул. Транспортная</t>
  </si>
  <si>
    <t xml:space="preserve">Корочанский район</t>
  </si>
  <si>
    <t xml:space="preserve">  </t>
  </si>
  <si>
    <t xml:space="preserve">х. Постников (в щебне)</t>
  </si>
  <si>
    <t xml:space="preserve">с. Анновка, ул. Центральная</t>
  </si>
  <si>
    <t xml:space="preserve">г. Короча, пер. Карла Либкнехта</t>
  </si>
  <si>
    <t xml:space="preserve">с. Дальняя Игуменка, МКР ИЖС «Игуменка 79» </t>
  </si>
  <si>
    <t xml:space="preserve">Капитальный ремонт подъездной дороги                      к кладбищу в х. Миндоловка </t>
  </si>
  <si>
    <t xml:space="preserve">Красненский район</t>
  </si>
  <si>
    <t xml:space="preserve">с. Готовье, ул. Молодежная</t>
  </si>
  <si>
    <t xml:space="preserve">с. Ураково, ул. Пролетарская</t>
  </si>
  <si>
    <t xml:space="preserve">с. Красное, пер. Подгорный, пер. Восточный</t>
  </si>
  <si>
    <t xml:space="preserve">с. Сетище, ул. Прудовая, ул. Лесная</t>
  </si>
  <si>
    <t xml:space="preserve">Ремонт автодороги от ул. Новая с. Большое                  до ул. Кривой рог с. Старый Редкодуб</t>
  </si>
  <si>
    <t xml:space="preserve">с. Камызино</t>
  </si>
  <si>
    <t xml:space="preserve">с. Круглое, ул. Красный боец</t>
  </si>
  <si>
    <t xml:space="preserve">с. Лесное Уколово, I очередь</t>
  </si>
  <si>
    <t xml:space="preserve">Красногвардейский район</t>
  </si>
  <si>
    <t xml:space="preserve">с. Ливенка, ул. Набережная</t>
  </si>
  <si>
    <t xml:space="preserve">с. Арнаутово, ул. Победы</t>
  </si>
  <si>
    <t xml:space="preserve">с. Стрелецкое, ул. Пролетарская</t>
  </si>
  <si>
    <t xml:space="preserve">с. Казацкое, ул. Заречная</t>
  </si>
  <si>
    <t xml:space="preserve">с. Остроухово, ул. Октябрьская</t>
  </si>
  <si>
    <t xml:space="preserve">с. Верхососна, ул. Мира, ул. Лесная</t>
  </si>
  <si>
    <t xml:space="preserve">с. Засосна, ул. Победы</t>
  </si>
  <si>
    <t xml:space="preserve">г. Бирюч, ул. Советская</t>
  </si>
  <si>
    <t xml:space="preserve">г. Бирюч, ул. Ямская</t>
  </si>
  <si>
    <t xml:space="preserve">г. Бирюч, ул. Чайковского</t>
  </si>
  <si>
    <t xml:space="preserve">г. Бирюч, ул. Заводская</t>
  </si>
  <si>
    <t xml:space="preserve">г. Бирюч, ул. Большевистская</t>
  </si>
  <si>
    <t xml:space="preserve">с. Малиново, ул. Зеленая (перекресток)</t>
  </si>
  <si>
    <t xml:space="preserve">с. Раздорное, ул. Раздорная</t>
  </si>
  <si>
    <t xml:space="preserve">с. Веселое, ул. Мира (д/с Теремок)</t>
  </si>
  <si>
    <t xml:space="preserve">с. Веселое, ул. Полевая</t>
  </si>
  <si>
    <t xml:space="preserve">с. Горовое, ул. Мира</t>
  </si>
  <si>
    <t xml:space="preserve">х. Котляров, ул. Центральная</t>
  </si>
  <si>
    <t xml:space="preserve">с. Ливенка, ул. Подлес</t>
  </si>
  <si>
    <t xml:space="preserve">с. Ливенка, ул. Советская</t>
  </si>
  <si>
    <t xml:space="preserve">с. Ливенка, ул. Заводская</t>
  </si>
  <si>
    <t xml:space="preserve">с. Черменевка, ул. Подгорная</t>
  </si>
  <si>
    <t xml:space="preserve">с. Уточка, ул. Советская </t>
  </si>
  <si>
    <t xml:space="preserve">Краснояружский  район</t>
  </si>
  <si>
    <t xml:space="preserve">п. Красная Яруга, ул. Почтовая </t>
  </si>
  <si>
    <t xml:space="preserve">п. Красная Яруга, ул. Народная - ул. Набережная </t>
  </si>
  <si>
    <t xml:space="preserve">с. Отрадовка, ул. Центральная - ул. Озерная</t>
  </si>
  <si>
    <t xml:space="preserve">п. Красная Яруга, ул. Набережная - Дальневосточная</t>
  </si>
  <si>
    <t xml:space="preserve">с. Илек-Пеньковка, ул. Молодежная</t>
  </si>
  <si>
    <t xml:space="preserve">с. Илек-Пеньковка, ул. Школьная</t>
  </si>
  <si>
    <t xml:space="preserve">х. Вязовской, ул. Трудовая</t>
  </si>
  <si>
    <t xml:space="preserve">Капитальный ремонт автодороги по ул. Парковая         в п. Красная Яруга </t>
  </si>
  <si>
    <t xml:space="preserve">Новооскольский городской округ</t>
  </si>
  <si>
    <t xml:space="preserve">г. Новый Оскол, ул. Успенская - ул. Кирова</t>
  </si>
  <si>
    <t xml:space="preserve">Капитальный ремонт моста в г. Новый Оскол,                   ул. 1 Мая </t>
  </si>
  <si>
    <t xml:space="preserve">Прохоровский район</t>
  </si>
  <si>
    <t xml:space="preserve">п. Прохоровка, ул. Советская</t>
  </si>
  <si>
    <r>
      <rPr>
        <sz val="14"/>
        <rFont val="Times New Roman"/>
        <family val="1"/>
        <charset val="204"/>
      </rPr>
      <t xml:space="preserve">п</t>
    </r>
    <r>
      <rPr>
        <sz val="14"/>
        <color rgb="FF8B08BC"/>
        <rFont val="Times New Roman"/>
        <family val="1"/>
        <charset val="204"/>
      </rPr>
      <t xml:space="preserve">. </t>
    </r>
    <r>
      <rPr>
        <sz val="14"/>
        <rFont val="Times New Roman"/>
        <family val="1"/>
        <charset val="204"/>
      </rPr>
      <t xml:space="preserve">Прохоровка, 1-й Советский переулок </t>
    </r>
  </si>
  <si>
    <t xml:space="preserve">п. Прохоровка, ул. Ивана Гнездилова</t>
  </si>
  <si>
    <t xml:space="preserve">с. Камышевка, ул. Волошенко</t>
  </si>
  <si>
    <t xml:space="preserve">с. Новоселовка, ул. Речная </t>
  </si>
  <si>
    <t xml:space="preserve">с. Подольхи, ул. Колхозная</t>
  </si>
  <si>
    <t xml:space="preserve">с. Казачье, ул. Солнечная</t>
  </si>
  <si>
    <t xml:space="preserve">с. Казачье, ул. Тихая</t>
  </si>
  <si>
    <t xml:space="preserve">с. Казачье, ул. Береговая</t>
  </si>
  <si>
    <t xml:space="preserve">п. Прохоровка, ул. Лермонтова</t>
  </si>
  <si>
    <t xml:space="preserve">с. Вязовое, ул. Народная</t>
  </si>
  <si>
    <t xml:space="preserve">Ракитянский район</t>
  </si>
  <si>
    <t xml:space="preserve">п. Ракитное, ул. Призаводская, ул. Заводская</t>
  </si>
  <si>
    <t xml:space="preserve">с. Русская Березовка</t>
  </si>
  <si>
    <t xml:space="preserve">п. Ракитное, ул. Первомайская</t>
  </si>
  <si>
    <t xml:space="preserve">п. Ракитное, ул. Московская</t>
  </si>
  <si>
    <t xml:space="preserve">п. Пролетарский, ул. Октябрьская, ул. Лесная,               пер. 8 Проезд, пер. 9 Проезд, пер. Советский</t>
  </si>
  <si>
    <t xml:space="preserve">п. Пролетарский, пер. Садовый - ул. 8 Марта,                ул. Народная</t>
  </si>
  <si>
    <t xml:space="preserve">с. Ворсклица</t>
  </si>
  <si>
    <t xml:space="preserve">с. Солдатское, ул. Садовая, ул. Молочная</t>
  </si>
  <si>
    <t xml:space="preserve">с. Новоленинское</t>
  </si>
  <si>
    <t xml:space="preserve">Ровеньский район</t>
  </si>
  <si>
    <t xml:space="preserve">Старооскольский городской округ</t>
  </si>
  <si>
    <t xml:space="preserve">           </t>
  </si>
  <si>
    <t xml:space="preserve">Ремонт автодорог в МКР ИЖС «Пролески»</t>
  </si>
  <si>
    <t xml:space="preserve">с. Городище</t>
  </si>
  <si>
    <t xml:space="preserve">г. Старый Оскол, ул. Треугольник</t>
  </si>
  <si>
    <t xml:space="preserve">г. Старый Оскол, ул. Комсомольская                               (от пр. Комсомольского до ул. Ленина)</t>
  </si>
  <si>
    <t xml:space="preserve">с. Сорокино, ул. Тракторная, ул. Дачная,                      п. Аксеновка, ул. Песочная</t>
  </si>
  <si>
    <t xml:space="preserve">Капитальный ремонт улично - дорожной сети городского округа, в том числе</t>
  </si>
  <si>
    <t xml:space="preserve">Капитальный ремонт автомобильных дорог                   в микрорайоне ИЖС  «Строитель» с. Незнамово</t>
  </si>
  <si>
    <t xml:space="preserve">Чернянский район</t>
  </si>
  <si>
    <t xml:space="preserve">с. Новоречье, ул. Молодежная</t>
  </si>
  <si>
    <t xml:space="preserve">с. Новоречье, ул. Центральная</t>
  </si>
  <si>
    <t xml:space="preserve">п. Чернянка, ул. Есенина</t>
  </si>
  <si>
    <t xml:space="preserve">п. Чернянка, ул. Гоголя</t>
  </si>
  <si>
    <t xml:space="preserve">п. Чернянка, ул. Комарова</t>
  </si>
  <si>
    <t xml:space="preserve">п. Чернянка ул. Крупской</t>
  </si>
  <si>
    <t xml:space="preserve">п. Чернянка ул. Садовая</t>
  </si>
  <si>
    <t xml:space="preserve">п. Чернянка ул. Ломоносова</t>
  </si>
  <si>
    <t xml:space="preserve">п. Чернянка, ул. Кольцова - ул. Урицкого</t>
  </si>
  <si>
    <t xml:space="preserve">Яковлевский муниципальный округ</t>
  </si>
  <si>
    <t xml:space="preserve">с. Кривцово, ул. Привольная</t>
  </si>
  <si>
    <t xml:space="preserve">г. Строитель, ул. Конева</t>
  </si>
  <si>
    <t xml:space="preserve">г. Строитель, ул. Жукова</t>
  </si>
  <si>
    <t xml:space="preserve">х. Новочеркасский, подъезд к кладбищу</t>
  </si>
  <si>
    <t xml:space="preserve">с. Верхний Ольшанец, ул. Садовая</t>
  </si>
  <si>
    <t xml:space="preserve">п. Яковлево, ул. Южная</t>
  </si>
  <si>
    <t xml:space="preserve">с. Гостищево, подъезд к кладбищу</t>
  </si>
  <si>
    <t xml:space="preserve">г. Строитель, ул. Жукова                                             (ремонт внутридомовых проездов)</t>
  </si>
  <si>
    <t xml:space="preserve">с. Гостищево, ул. Комсомольская</t>
  </si>
  <si>
    <t xml:space="preserve">г. Белгород</t>
  </si>
  <si>
    <t xml:space="preserve">Капитальный ремонт улично - дорожной сети города, в том числе</t>
  </si>
  <si>
    <t xml:space="preserve">Капитальный ремонт пр. Ватутина от ул. 5 Августа      до ул. Князя Трубецкого в г. Белгороде (1 этап)</t>
  </si>
  <si>
    <t xml:space="preserve">Ремонт улично - дорожной сети города,                        в том числе</t>
  </si>
  <si>
    <t xml:space="preserve">Ремонт автодорог к парку аттракционов                        в городе Белгороде</t>
  </si>
  <si>
    <t xml:space="preserve">Ремонт автомобильных дорог  в урочище Пески (ул. Дальняя Тихая и ул. Ольховая) в граниах городского округа "Город Белгород"</t>
  </si>
  <si>
    <t xml:space="preserve">Ремонт улично-дорожной сети в г.Белгороде                                     (ул. Белгородской Сирени)</t>
  </si>
  <si>
    <t xml:space="preserve">Ремонт ул. Белгородского Полка                                                    от пр. Белгородский до ул. Октябрьская</t>
  </si>
  <si>
    <t xml:space="preserve">Ремонт ул.Волчанская от ул. Михайловское шоссе до д. 139</t>
  </si>
  <si>
    <t xml:space="preserve">Ремонт ул. Академическая от ул. Костюкова                                                         до д. 1а</t>
  </si>
  <si>
    <t xml:space="preserve">Ремонт ул. Беловская</t>
  </si>
  <si>
    <t xml:space="preserve">Ремонт ул. Пятницкая от ул. Макаренко                                                      до ул. С.Косенкова</t>
  </si>
  <si>
    <t xml:space="preserve">Ремонт ул.С.Чайкина от ул. Пятницкая                                                          до ул. Беловская</t>
  </si>
  <si>
    <t xml:space="preserve">Ремонт ул. С.Косенкова</t>
  </si>
  <si>
    <t xml:space="preserve">Ремонт автодороги по пер. 5 Ясный</t>
  </si>
  <si>
    <t xml:space="preserve">Ремонт автодороги по пер.2 Декабристов                                                                  от пер. 1-й Слобожанский до д.15</t>
  </si>
  <si>
    <t xml:space="preserve">Капитальный ремонт пр. Ватутина от ул. 5 Августа      до ул. Князя Трубецкого с капитальным ремонтом мостовых сооружений и путепровода</t>
  </si>
  <si>
    <t xml:space="preserve">Министр автомобильных дорог и транспорта Белгородской области</t>
  </si>
  <si>
    <t xml:space="preserve">С.В. Евтушенко</t>
  </si>
</sst>
</file>

<file path=xl/styles.xml><?xml version="1.0" encoding="utf-8"?>
<styleSheet xmlns="http://schemas.openxmlformats.org/spreadsheetml/2006/main">
  <numFmts count="14">
    <numFmt numFmtId="164" formatCode="General"/>
    <numFmt numFmtId="165" formatCode="0"/>
    <numFmt numFmtId="166" formatCode="#,##0.0"/>
    <numFmt numFmtId="167" formatCode="0.0"/>
    <numFmt numFmtId="168" formatCode="#,##0"/>
    <numFmt numFmtId="169" formatCode="#,##0.000"/>
    <numFmt numFmtId="170" formatCode="#,##0_р_."/>
    <numFmt numFmtId="171" formatCode="#,##0.0_р_."/>
    <numFmt numFmtId="172" formatCode="#,##0.00000"/>
    <numFmt numFmtId="173" formatCode="#,##0.00"/>
    <numFmt numFmtId="174" formatCode="#,##0.000_р_."/>
    <numFmt numFmtId="175" formatCode="0.000"/>
    <numFmt numFmtId="176" formatCode="0.00"/>
    <numFmt numFmtId="177" formatCode="#,##0.000000"/>
  </numFmts>
  <fonts count="22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theme="1"/>
      <name val="Calibri"/>
      <family val="2"/>
      <charset val="204"/>
    </font>
    <font>
      <sz val="11"/>
      <color theme="1"/>
      <name val="Calibri"/>
      <family val="2"/>
      <charset val="1"/>
    </font>
    <font>
      <sz val="14"/>
      <name val="Times New Roman"/>
      <family val="1"/>
      <charset val="204"/>
    </font>
    <font>
      <b val="true"/>
      <sz val="16"/>
      <name val="Times New Roman"/>
      <family val="1"/>
      <charset val="204"/>
    </font>
    <font>
      <b val="true"/>
      <sz val="18"/>
      <name val="Times New Roman"/>
      <family val="1"/>
      <charset val="204"/>
    </font>
    <font>
      <b val="true"/>
      <sz val="13"/>
      <name val="Times New Roman"/>
      <family val="1"/>
      <charset val="204"/>
    </font>
    <font>
      <sz val="13"/>
      <name val="Arial"/>
      <family val="2"/>
      <charset val="204"/>
    </font>
    <font>
      <b val="true"/>
      <sz val="13"/>
      <name val="Arial"/>
      <family val="2"/>
      <charset val="204"/>
    </font>
    <font>
      <b val="true"/>
      <sz val="14"/>
      <name val="Times New Roman"/>
      <family val="1"/>
      <charset val="204"/>
    </font>
    <font>
      <b val="true"/>
      <sz val="16"/>
      <name val="Arial"/>
      <family val="2"/>
      <charset val="204"/>
    </font>
    <font>
      <sz val="16"/>
      <name val="Times New Roman"/>
      <family val="1"/>
      <charset val="204"/>
    </font>
    <font>
      <sz val="13"/>
      <name val="Times New Roman"/>
      <family val="1"/>
      <charset val="204"/>
    </font>
    <font>
      <sz val="16"/>
      <name val="Arial"/>
      <family val="0"/>
      <charset val="1"/>
    </font>
    <font>
      <sz val="12"/>
      <name val="Times New Roman"/>
      <family val="1"/>
      <charset val="204"/>
    </font>
    <font>
      <b val="true"/>
      <sz val="10"/>
      <name val="Arial"/>
      <family val="0"/>
      <charset val="204"/>
    </font>
    <font>
      <sz val="14"/>
      <color rgb="FF8B08BC"/>
      <name val="Times New Roman"/>
      <family val="1"/>
      <charset val="204"/>
    </font>
    <font>
      <i val="true"/>
      <sz val="14"/>
      <name val="Times New Roman"/>
      <family val="1"/>
      <charset val="204"/>
    </font>
    <font>
      <b val="true"/>
      <i val="true"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8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medium"/>
      <right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/>
      <top style="thin"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9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24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8" fillId="0" borderId="0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0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2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2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3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4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5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6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7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8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9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0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11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2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3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4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5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6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7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8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9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20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21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22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23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7" fillId="0" borderId="24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24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7" xfId="24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7" fillId="0" borderId="7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8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0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25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26" xfId="24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27" xfId="2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8" xfId="2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30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11" xfId="23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7" fillId="0" borderId="7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7" fillId="0" borderId="7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6" fillId="0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2" fillId="0" borderId="9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2" fillId="0" borderId="7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2" fillId="0" borderId="11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1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2" fillId="0" borderId="7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2" fillId="0" borderId="11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2" fillId="0" borderId="8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2" fillId="0" borderId="9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2" fillId="0" borderId="0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30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1" xfId="23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6" fillId="0" borderId="7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6" fillId="0" borderId="7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0" borderId="7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0" borderId="11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6" fillId="0" borderId="7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6" fillId="0" borderId="7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6" fillId="0" borderId="8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6" fillId="0" borderId="9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6" fillId="0" borderId="8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6" fillId="0" borderId="9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2" fillId="0" borderId="7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2" fillId="0" borderId="0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0" fillId="0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26" xfId="23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2" fillId="0" borderId="29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2" fillId="0" borderId="27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2" fillId="0" borderId="26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2" fillId="0" borderId="28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6" fillId="0" borderId="7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6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2" fillId="0" borderId="7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2" fillId="0" borderId="7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2" fillId="0" borderId="7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2" fillId="0" borderId="8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2" fillId="0" borderId="29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2" fillId="0" borderId="27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2" fillId="0" borderId="26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2" fillId="0" borderId="28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2" fillId="0" borderId="11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7" xfId="2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0" fillId="0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0" fillId="0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0" fillId="0" borderId="1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2" fillId="0" borderId="7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2" fillId="0" borderId="8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0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12" fillId="0" borderId="8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2" fillId="0" borderId="9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2" fillId="0" borderId="11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12" fillId="0" borderId="7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0" borderId="7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7" fillId="0" borderId="2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7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1" xfId="24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2" fillId="0" borderId="9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2" fillId="0" borderId="7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2" fillId="0" borderId="31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4" fontId="6" fillId="0" borderId="9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6" fillId="0" borderId="7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6" fillId="0" borderId="9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6" fillId="0" borderId="31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6" fillId="0" borderId="31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11" xfId="23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0" fillId="0" borderId="7" xfId="2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2" fillId="0" borderId="8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5" fontId="12" fillId="0" borderId="9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6" fillId="0" borderId="7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30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8" fillId="0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8" fillId="0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8" fillId="0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8" fillId="0" borderId="1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1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6" fillId="0" borderId="8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2" fillId="0" borderId="7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2" fillId="0" borderId="7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2" fillId="0" borderId="0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0" fillId="0" borderId="3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6" fillId="0" borderId="7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2" fillId="0" borderId="8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6" fillId="0" borderId="7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0" borderId="7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0" borderId="8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5" fontId="6" fillId="0" borderId="7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2" fillId="0" borderId="32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2" fillId="0" borderId="32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3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2" fillId="0" borderId="8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6" fillId="0" borderId="11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8" fontId="6" fillId="0" borderId="7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6" fillId="0" borderId="8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6" fillId="0" borderId="7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6" fillId="0" borderId="8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26" xfId="24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6" fontId="12" fillId="0" borderId="7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6" fontId="12" fillId="0" borderId="9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0" fillId="0" borderId="11" xfId="24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20" fillId="0" borderId="7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21" fillId="0" borderId="7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20" fillId="0" borderId="7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34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0" borderId="13" xfId="24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20" fillId="0" borderId="10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21" fillId="0" borderId="10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20" fillId="0" borderId="10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2" fillId="0" borderId="10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2" fillId="0" borderId="14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24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0" borderId="7" xfId="24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6" fillId="0" borderId="35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36" xfId="23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6" fillId="0" borderId="36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12" fillId="0" borderId="36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0" borderId="36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2" fillId="0" borderId="36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2" fillId="0" borderId="37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7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15" xfId="20"/>
    <cellStyle name="Обычный 2" xfId="21"/>
    <cellStyle name="Обычный_219-пп_Приложение 2" xfId="22"/>
    <cellStyle name="Обычный_ВЫПОЛНЕНИЕ программы ИЖС-2010 год" xfId="23"/>
    <cellStyle name="Стиль 1" xfId="24"/>
    <cellStyle name="Стиль 1 2" xfId="2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B08BC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B050"/>
    <pageSetUpPr fitToPage="true"/>
  </sheetPr>
  <dimension ref="A1:AR234"/>
  <sheetViews>
    <sheetView showFormulas="false" showGridLines="true" showRowColHeaders="true" showZeros="true" rightToLeft="false" tabSelected="true" showOutlineSymbols="true" defaultGridColor="true" view="pageBreakPreview" topLeftCell="A1" colorId="64" zoomScale="75" zoomScaleNormal="75" zoomScalePageLayoutView="75" workbookViewId="0">
      <selection pane="topLeft" activeCell="X4" activeCellId="0" sqref="X4"/>
    </sheetView>
  </sheetViews>
  <sheetFormatPr defaultColWidth="9.1484375" defaultRowHeight="18.75" zeroHeight="false" outlineLevelRow="0" outlineLevelCol="0"/>
  <cols>
    <col collapsed="false" customWidth="true" hidden="false" outlineLevel="0" max="1" min="1" style="1" width="6.57"/>
    <col collapsed="false" customWidth="true" hidden="false" outlineLevel="0" max="2" min="2" style="2" width="59.29"/>
    <col collapsed="false" customWidth="true" hidden="false" outlineLevel="0" max="4" min="3" style="2" width="12"/>
    <col collapsed="false" customWidth="true" hidden="false" outlineLevel="0" max="5" min="5" style="2" width="17"/>
    <col collapsed="false" customWidth="true" hidden="false" outlineLevel="0" max="6" min="6" style="2" width="18.57"/>
    <col collapsed="false" customWidth="true" hidden="false" outlineLevel="0" max="7" min="7" style="2" width="15.71"/>
    <col collapsed="false" customWidth="true" hidden="false" outlineLevel="0" max="8" min="8" style="2" width="12.29"/>
    <col collapsed="false" customWidth="true" hidden="false" outlineLevel="0" max="9" min="9" style="2" width="9.86"/>
    <col collapsed="false" customWidth="true" hidden="false" outlineLevel="0" max="10" min="10" style="2" width="17.29"/>
    <col collapsed="false" customWidth="true" hidden="false" outlineLevel="0" max="11" min="11" style="2" width="15.71"/>
    <col collapsed="false" customWidth="true" hidden="false" outlineLevel="0" max="12" min="12" style="2" width="13.15"/>
    <col collapsed="false" customWidth="true" hidden="false" outlineLevel="0" max="14" min="13" style="2" width="10.29"/>
    <col collapsed="false" customWidth="true" hidden="false" outlineLevel="0" max="15" min="15" style="2" width="17.15"/>
    <col collapsed="false" customWidth="true" hidden="false" outlineLevel="0" max="16" min="16" style="2" width="16"/>
    <col collapsed="false" customWidth="true" hidden="false" outlineLevel="0" max="17" min="17" style="2" width="13.15"/>
    <col collapsed="false" customWidth="true" hidden="true" outlineLevel="0" max="18" min="18" style="2" width="9"/>
    <col collapsed="false" customWidth="true" hidden="true" outlineLevel="0" max="19" min="19" style="2" width="9.71"/>
    <col collapsed="false" customWidth="true" hidden="true" outlineLevel="0" max="21" min="20" style="2" width="15.57"/>
    <col collapsed="false" customWidth="true" hidden="true" outlineLevel="0" max="22" min="22" style="2" width="12.71"/>
    <col collapsed="false" customWidth="true" hidden="false" outlineLevel="0" max="23" min="23" style="2" width="16.57"/>
    <col collapsed="false" customWidth="true" hidden="false" outlineLevel="0" max="24" min="24" style="2" width="14.42"/>
    <col collapsed="false" customWidth="false" hidden="false" outlineLevel="0" max="25" min="25" style="2" width="9.14"/>
    <col collapsed="false" customWidth="true" hidden="false" outlineLevel="0" max="26" min="26" style="2" width="17"/>
    <col collapsed="false" customWidth="false" hidden="false" outlineLevel="0" max="38" min="27" style="2" width="9.14"/>
    <col collapsed="false" customWidth="false" hidden="false" outlineLevel="0" max="42" min="39" style="3" width="9.14"/>
    <col collapsed="false" customWidth="false" hidden="false" outlineLevel="0" max="16384" min="43" style="4" width="9.14"/>
  </cols>
  <sheetData>
    <row r="1" s="4" customFormat="true" ht="75.6" hidden="false" customHeight="true" outlineLevel="0" collapsed="false">
      <c r="A1" s="5"/>
      <c r="B1" s="6"/>
      <c r="C1" s="7"/>
      <c r="D1" s="7"/>
      <c r="E1" s="7"/>
      <c r="F1" s="7"/>
      <c r="G1" s="7"/>
      <c r="H1" s="8"/>
      <c r="I1" s="9"/>
      <c r="J1" s="9"/>
      <c r="K1" s="7" t="s">
        <v>0</v>
      </c>
      <c r="L1" s="7"/>
      <c r="M1" s="7"/>
      <c r="N1" s="7"/>
      <c r="O1" s="7"/>
      <c r="P1" s="7"/>
      <c r="Q1" s="7"/>
      <c r="R1" s="7"/>
      <c r="S1" s="7"/>
      <c r="T1" s="7"/>
      <c r="U1" s="7"/>
      <c r="V1" s="7"/>
    </row>
    <row r="2" s="4" customFormat="true" ht="22.5" hidden="false" customHeight="true" outlineLevel="0" collapsed="false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</row>
    <row r="3" s="4" customFormat="true" ht="50.7" hidden="false" customHeight="true" outlineLevel="0" collapsed="false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</row>
    <row r="4" s="4" customFormat="true" ht="27" hidden="false" customHeight="true" outlineLevel="0" collapsed="false">
      <c r="A4" s="5"/>
      <c r="B4" s="6"/>
      <c r="C4" s="12"/>
      <c r="D4" s="12"/>
      <c r="E4" s="12"/>
      <c r="F4" s="12"/>
      <c r="G4" s="12"/>
      <c r="H4" s="12"/>
      <c r="I4" s="12"/>
      <c r="J4" s="12"/>
      <c r="K4" s="12"/>
      <c r="L4" s="13"/>
      <c r="M4" s="13"/>
      <c r="N4" s="13"/>
      <c r="O4" s="13"/>
      <c r="P4" s="13"/>
      <c r="Q4" s="13"/>
      <c r="R4" s="14"/>
      <c r="S4" s="14"/>
      <c r="T4" s="14"/>
      <c r="U4" s="14"/>
      <c r="V4" s="14"/>
    </row>
    <row r="5" s="20" customFormat="true" ht="27.75" hidden="false" customHeight="true" outlineLevel="0" collapsed="false">
      <c r="A5" s="15" t="s">
        <v>2</v>
      </c>
      <c r="B5" s="16" t="s">
        <v>3</v>
      </c>
      <c r="C5" s="17" t="s">
        <v>4</v>
      </c>
      <c r="D5" s="17"/>
      <c r="E5" s="17"/>
      <c r="F5" s="17"/>
      <c r="G5" s="17"/>
      <c r="H5" s="17" t="s">
        <v>5</v>
      </c>
      <c r="I5" s="17"/>
      <c r="J5" s="17"/>
      <c r="K5" s="17"/>
      <c r="L5" s="17"/>
      <c r="M5" s="18" t="s">
        <v>6</v>
      </c>
      <c r="N5" s="18"/>
      <c r="O5" s="18"/>
      <c r="P5" s="18"/>
      <c r="Q5" s="18"/>
      <c r="R5" s="19" t="s">
        <v>7</v>
      </c>
      <c r="S5" s="19"/>
      <c r="T5" s="19"/>
      <c r="U5" s="19"/>
      <c r="V5" s="19"/>
      <c r="W5" s="4"/>
      <c r="X5" s="4"/>
      <c r="Y5" s="4"/>
      <c r="Z5" s="4"/>
      <c r="AA5" s="4"/>
      <c r="AB5" s="4" t="s">
        <v>8</v>
      </c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</row>
    <row r="6" s="25" customFormat="true" ht="29.25" hidden="false" customHeight="true" outlineLevel="0" collapsed="false">
      <c r="A6" s="15"/>
      <c r="B6" s="16"/>
      <c r="C6" s="21" t="s">
        <v>9</v>
      </c>
      <c r="D6" s="21"/>
      <c r="E6" s="21" t="s">
        <v>10</v>
      </c>
      <c r="F6" s="21" t="s">
        <v>11</v>
      </c>
      <c r="G6" s="21"/>
      <c r="H6" s="21" t="s">
        <v>9</v>
      </c>
      <c r="I6" s="21"/>
      <c r="J6" s="21" t="s">
        <v>12</v>
      </c>
      <c r="K6" s="21" t="s">
        <v>11</v>
      </c>
      <c r="L6" s="21"/>
      <c r="M6" s="21" t="s">
        <v>9</v>
      </c>
      <c r="N6" s="21"/>
      <c r="O6" s="21" t="s">
        <v>13</v>
      </c>
      <c r="P6" s="22" t="s">
        <v>11</v>
      </c>
      <c r="Q6" s="22"/>
      <c r="R6" s="23" t="s">
        <v>9</v>
      </c>
      <c r="S6" s="23"/>
      <c r="T6" s="24" t="s">
        <v>14</v>
      </c>
      <c r="U6" s="22" t="s">
        <v>11</v>
      </c>
      <c r="V6" s="22"/>
      <c r="W6" s="13"/>
      <c r="X6" s="13"/>
      <c r="Y6" s="13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</row>
    <row r="7" s="25" customFormat="true" ht="76.5" hidden="false" customHeight="true" outlineLevel="0" collapsed="false">
      <c r="A7" s="15"/>
      <c r="B7" s="16"/>
      <c r="C7" s="21" t="s">
        <v>15</v>
      </c>
      <c r="D7" s="21" t="s">
        <v>16</v>
      </c>
      <c r="E7" s="21"/>
      <c r="F7" s="21" t="s">
        <v>17</v>
      </c>
      <c r="G7" s="21" t="s">
        <v>18</v>
      </c>
      <c r="H7" s="21" t="s">
        <v>15</v>
      </c>
      <c r="I7" s="21" t="s">
        <v>16</v>
      </c>
      <c r="J7" s="21"/>
      <c r="K7" s="21" t="s">
        <v>19</v>
      </c>
      <c r="L7" s="21" t="s">
        <v>18</v>
      </c>
      <c r="M7" s="21" t="s">
        <v>15</v>
      </c>
      <c r="N7" s="21" t="s">
        <v>16</v>
      </c>
      <c r="O7" s="21"/>
      <c r="P7" s="26" t="s">
        <v>20</v>
      </c>
      <c r="Q7" s="22" t="s">
        <v>18</v>
      </c>
      <c r="R7" s="27" t="s">
        <v>15</v>
      </c>
      <c r="S7" s="27" t="s">
        <v>16</v>
      </c>
      <c r="T7" s="24"/>
      <c r="U7" s="28" t="s">
        <v>21</v>
      </c>
      <c r="V7" s="29" t="s">
        <v>18</v>
      </c>
      <c r="W7" s="13"/>
      <c r="X7" s="13"/>
      <c r="Y7" s="13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</row>
    <row r="8" s="38" customFormat="true" ht="27.75" hidden="false" customHeight="true" outlineLevel="0" collapsed="false">
      <c r="A8" s="30" t="n">
        <v>1</v>
      </c>
      <c r="B8" s="31" t="n">
        <v>2</v>
      </c>
      <c r="C8" s="31" t="n">
        <v>3</v>
      </c>
      <c r="D8" s="31" t="n">
        <v>4</v>
      </c>
      <c r="E8" s="31" t="n">
        <v>5</v>
      </c>
      <c r="F8" s="31" t="n">
        <v>6</v>
      </c>
      <c r="G8" s="31" t="n">
        <v>7</v>
      </c>
      <c r="H8" s="31" t="n">
        <v>8</v>
      </c>
      <c r="I8" s="31" t="n">
        <v>9</v>
      </c>
      <c r="J8" s="31" t="n">
        <v>10</v>
      </c>
      <c r="K8" s="31" t="n">
        <v>11</v>
      </c>
      <c r="L8" s="31" t="n">
        <v>12</v>
      </c>
      <c r="M8" s="31" t="n">
        <v>13</v>
      </c>
      <c r="N8" s="31" t="n">
        <v>14</v>
      </c>
      <c r="O8" s="31" t="n">
        <v>15</v>
      </c>
      <c r="P8" s="32" t="n">
        <v>16</v>
      </c>
      <c r="Q8" s="33" t="n">
        <v>17</v>
      </c>
      <c r="R8" s="34" t="n">
        <v>22</v>
      </c>
      <c r="S8" s="34" t="n">
        <v>23</v>
      </c>
      <c r="T8" s="35" t="n">
        <v>24</v>
      </c>
      <c r="U8" s="36" t="n">
        <v>25</v>
      </c>
      <c r="V8" s="37" t="n">
        <v>26</v>
      </c>
      <c r="W8" s="13"/>
      <c r="X8" s="13"/>
      <c r="Y8" s="13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</row>
    <row r="9" s="40" customFormat="true" ht="52.5" hidden="false" customHeight="true" outlineLevel="0" collapsed="false">
      <c r="A9" s="39" t="s">
        <v>22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5"/>
      <c r="S9" s="5"/>
      <c r="T9" s="5"/>
      <c r="U9" s="5"/>
      <c r="V9" s="5"/>
      <c r="W9" s="13"/>
      <c r="X9" s="13"/>
      <c r="Y9" s="13"/>
      <c r="Z9" s="13" t="s">
        <v>23</v>
      </c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</row>
    <row r="10" s="40" customFormat="true" ht="43.5" hidden="false" customHeight="true" outlineLevel="0" collapsed="false">
      <c r="A10" s="41"/>
      <c r="B10" s="42" t="s">
        <v>24</v>
      </c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5"/>
      <c r="S10" s="5"/>
      <c r="T10" s="5"/>
      <c r="U10" s="5"/>
      <c r="V10" s="5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</row>
    <row r="11" s="48" customFormat="true" ht="36" hidden="false" customHeight="true" outlineLevel="0" collapsed="false">
      <c r="A11" s="43"/>
      <c r="B11" s="44" t="s">
        <v>25</v>
      </c>
      <c r="C11" s="45" t="n">
        <f aca="false">C15+C28+C50+C56+C67+C81+C92+C96+C104+C114+C139+C150+C153+C165+C178+C186+C196+C206</f>
        <v>106.8697</v>
      </c>
      <c r="D11" s="45" t="n">
        <f aca="false">D15+D28+D50+D56+D67+D81+D92+D96+D104+D114+D139+D150+D153+D165+D178+D196+D206</f>
        <v>0</v>
      </c>
      <c r="E11" s="45" t="n">
        <f aca="false">E15+E28+E50+E56+E67+E81+E92+E96+E104+E114+E139+E150+E153+E165+E178+E186+E196+E206</f>
        <v>1983674.00903</v>
      </c>
      <c r="F11" s="45" t="n">
        <f aca="false">F15+F28+F50+F56+F67+F81+F92+F96+F104+F114+F139+F150+F153+F165+F178+F186+F196+F206</f>
        <v>1860280.17</v>
      </c>
      <c r="G11" s="45" t="n">
        <f aca="false">G15+G28+G50+G56+G67+G81+G92+G96+G104+G114+G139+G150+G153+G165+G178+G186+G196+G206</f>
        <v>123393.83903</v>
      </c>
      <c r="H11" s="45" t="n">
        <f aca="false">H15+H28+H50+H56+H67+H81+H92+H96+H104+H114+H139+H150+H153+H165+H178+H196+H206</f>
        <v>82.404</v>
      </c>
      <c r="I11" s="45" t="n">
        <f aca="false">I15+I28+I50+I56+I67+I81+I92+I96+I104+I114+I139+I150+I153+I165+I178+I196+I206</f>
        <v>343.3</v>
      </c>
      <c r="J11" s="45" t="n">
        <f aca="false">J15+J28+J50+J56+J67+J81+J92+J96+J104+J114+J139+J150+J153+J165+J178+J196+J206</f>
        <v>1672618.60902</v>
      </c>
      <c r="K11" s="45" t="n">
        <f aca="false">K15+K28+K50+K56+K67+K81+K92+K96+K104+K114+K139+K150+K153+K165+K178+K196+K206</f>
        <v>1569901.0254788</v>
      </c>
      <c r="L11" s="45" t="n">
        <f aca="false">L15+L28+L50+L56+L67+L81+L92+L96+L104+L114+L139+L150+L153+L165+L178+L196+L206</f>
        <v>102717.5835412</v>
      </c>
      <c r="M11" s="45" t="n">
        <f aca="false">M15+M28+M50+M56+M67+M81+M92+M96+M104+M114+M139+M150+M153+M165+M178+M196+M206</f>
        <v>38.2923</v>
      </c>
      <c r="N11" s="45" t="n">
        <f aca="false">N15+N28+N50+N56+N67+N81+N92+N96+N104+N114+N139+N150+N153+N165+N178+N196+N206</f>
        <v>0</v>
      </c>
      <c r="O11" s="45" t="n">
        <f aca="false">O15+O28+O50+O56+O67+O81+O92+O96+O104+O114+O139+O150+O153+O165+O178+O196+O206</f>
        <v>1173490.8</v>
      </c>
      <c r="P11" s="45" t="n">
        <f aca="false">P15+P28+P50+P56+P67+P81+P92+P96+P104+P114+P139+P150+P153+P165+P178+P196+P206</f>
        <v>1107172.3</v>
      </c>
      <c r="Q11" s="46" t="n">
        <f aca="false">Q15+Q28+Q50+Q56+Q67+Q81+Q92+Q96+Q104+Q114+Q139+Q150+Q153+Q165+Q178+Q196+Q206</f>
        <v>66318.5</v>
      </c>
      <c r="R11" s="47" t="e">
        <f aca="false">R15+R28+R50+R56+R65+R67+R81+R83+R92+R96+R104+R114+R139+R150+R153+R165+R176+R178+#REF!+#REF!+R196+R206</f>
        <v>#REF!</v>
      </c>
      <c r="S11" s="47" t="e">
        <f aca="false">S15+S28+S50+S56+S65+S67+S81+S83+S92+S96+S104+S114+S139+S150+S153+S165+S176+S178+#REF!+#REF!+S196+S206</f>
        <v>#REF!</v>
      </c>
      <c r="T11" s="47" t="e">
        <f aca="false">T15+T28+T50+T56+T65+T67+T81+T83+T92+T96+T104+T114+T139+T150+T153+T165+T176+T178+#REF!+#REF!+T196+T206</f>
        <v>#REF!</v>
      </c>
      <c r="U11" s="47" t="e">
        <f aca="false">U15+U28+U50+U56+U65+U67+U81+U83+U92+U96+U104+U114+U139+U150+U153+U165+U176+U178+#REF!+#REF!+U196+U206</f>
        <v>#REF!</v>
      </c>
      <c r="V11" s="47" t="e">
        <f aca="false">V15+V28+V50+V56+V65+V67+V81+V83+V92+V96+V104+V114+V139+V150+V153+V165+V176+V178+#REF!+#REF!+V196+V206</f>
        <v>#REF!</v>
      </c>
      <c r="W11" s="47" t="e">
        <f aca="false">E11-#REF!</f>
        <v>#REF!</v>
      </c>
      <c r="X11" s="47" t="e">
        <f aca="false">F11-#REF!</f>
        <v>#REF!</v>
      </c>
      <c r="Y11" s="47"/>
      <c r="Z11" s="47" t="e">
        <f aca="false">G11-#REF!</f>
        <v>#REF!</v>
      </c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</row>
    <row r="12" s="4" customFormat="true" ht="26.25" hidden="false" customHeight="true" outlineLevel="0" collapsed="false">
      <c r="A12" s="49"/>
      <c r="B12" s="50" t="s">
        <v>26</v>
      </c>
      <c r="C12" s="51"/>
      <c r="D12" s="51"/>
      <c r="E12" s="51"/>
      <c r="F12" s="51"/>
      <c r="G12" s="51"/>
      <c r="H12" s="52"/>
      <c r="I12" s="52"/>
      <c r="J12" s="52"/>
      <c r="K12" s="52"/>
      <c r="L12" s="52"/>
      <c r="M12" s="51"/>
      <c r="N12" s="51"/>
      <c r="O12" s="51"/>
      <c r="P12" s="51"/>
      <c r="Q12" s="53"/>
      <c r="R12" s="54"/>
      <c r="S12" s="54"/>
      <c r="T12" s="52"/>
      <c r="U12" s="55"/>
      <c r="V12" s="56"/>
      <c r="W12" s="13"/>
      <c r="X12" s="13"/>
      <c r="Y12" s="13"/>
    </row>
    <row r="13" s="20" customFormat="true" ht="27" hidden="false" customHeight="true" outlineLevel="0" collapsed="false">
      <c r="A13" s="57"/>
      <c r="B13" s="58" t="s">
        <v>27</v>
      </c>
      <c r="C13" s="59"/>
      <c r="D13" s="59"/>
      <c r="E13" s="45"/>
      <c r="F13" s="45" t="n">
        <f aca="false">F15+F28+F50+F56+F67+F81+F92+F96+F104+F114+F139+F150+F153+F165+F178+F186+F196+F206</f>
        <v>1860280.17</v>
      </c>
      <c r="G13" s="45"/>
      <c r="H13" s="45"/>
      <c r="I13" s="45"/>
      <c r="J13" s="45"/>
      <c r="K13" s="45" t="n">
        <f aca="false">K15+K28+K50+K56+K67+K81+K92+K96+K104+K114+K139+K150+K153+K165+K178+K196+K206</f>
        <v>1569901.0254788</v>
      </c>
      <c r="L13" s="45"/>
      <c r="M13" s="59"/>
      <c r="N13" s="59"/>
      <c r="O13" s="45"/>
      <c r="P13" s="45" t="n">
        <f aca="false">P15+P28+P50+P56+P67+P81+P92+P96+P104+P114+P139+P150+P153+P165+P178+P196+P206</f>
        <v>1107172.3</v>
      </c>
      <c r="Q13" s="46"/>
      <c r="R13" s="60"/>
      <c r="S13" s="60"/>
      <c r="T13" s="61"/>
      <c r="U13" s="62"/>
      <c r="V13" s="63"/>
      <c r="W13" s="13"/>
      <c r="X13" s="13"/>
      <c r="Y13" s="13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="20" customFormat="true" ht="42.75" hidden="false" customHeight="true" outlineLevel="0" collapsed="false">
      <c r="A14" s="57"/>
      <c r="B14" s="58" t="s">
        <v>28</v>
      </c>
      <c r="C14" s="64"/>
      <c r="D14" s="64"/>
      <c r="E14" s="64"/>
      <c r="F14" s="64"/>
      <c r="G14" s="45" t="n">
        <f aca="false">G15+G28+G50+G56+G67+G81+G92+G96+G104+G114+G139+G150+G153+G165+G178+G186+G196+G206</f>
        <v>123393.83903</v>
      </c>
      <c r="H14" s="65"/>
      <c r="I14" s="65"/>
      <c r="J14" s="65"/>
      <c r="K14" s="65"/>
      <c r="L14" s="45" t="n">
        <f aca="false">L15+L28+L50+L56+L67+L81+L92+L96+L104+L114+L139+L150+L153+L165+L178+L196+L206</f>
        <v>102717.5835412</v>
      </c>
      <c r="M14" s="64"/>
      <c r="N14" s="64"/>
      <c r="O14" s="64"/>
      <c r="P14" s="64"/>
      <c r="Q14" s="46" t="n">
        <f aca="false">Q15+Q28+Q50+Q56+Q67+Q81+Q92+Q96+Q104+Q114+Q139+Q150+Q153+Q165+Q178+Q196+Q206</f>
        <v>66318.5</v>
      </c>
      <c r="R14" s="66"/>
      <c r="S14" s="66"/>
      <c r="T14" s="67"/>
      <c r="U14" s="68"/>
      <c r="V14" s="63"/>
      <c r="W14" s="13"/>
      <c r="X14" s="13"/>
      <c r="Y14" s="13"/>
      <c r="Z14" s="4"/>
      <c r="AA14" s="4" t="s">
        <v>8</v>
      </c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</row>
    <row r="15" s="20" customFormat="true" ht="27" hidden="false" customHeight="true" outlineLevel="0" collapsed="false">
      <c r="A15" s="57"/>
      <c r="B15" s="69" t="s">
        <v>29</v>
      </c>
      <c r="C15" s="70" t="n">
        <f aca="false">C16</f>
        <v>10.3</v>
      </c>
      <c r="D15" s="67"/>
      <c r="E15" s="70" t="n">
        <f aca="false">E16</f>
        <v>238000</v>
      </c>
      <c r="F15" s="70" t="n">
        <f aca="false">F16</f>
        <v>223720</v>
      </c>
      <c r="G15" s="71" t="n">
        <f aca="false">G16</f>
        <v>14280</v>
      </c>
      <c r="H15" s="70"/>
      <c r="I15" s="70"/>
      <c r="J15" s="70"/>
      <c r="K15" s="70"/>
      <c r="L15" s="70"/>
      <c r="M15" s="70" t="n">
        <f aca="false">M16</f>
        <v>8.43</v>
      </c>
      <c r="N15" s="70"/>
      <c r="O15" s="70" t="n">
        <f aca="false">O16</f>
        <v>554519.8</v>
      </c>
      <c r="P15" s="70" t="n">
        <f aca="false">P16</f>
        <v>521248.6</v>
      </c>
      <c r="Q15" s="72" t="n">
        <f aca="false">Q16</f>
        <v>33271.2</v>
      </c>
      <c r="R15" s="73" t="n">
        <v>10.3</v>
      </c>
      <c r="S15" s="70"/>
      <c r="T15" s="70" t="n">
        <v>238000</v>
      </c>
      <c r="U15" s="70" t="n">
        <v>223720</v>
      </c>
      <c r="V15" s="72" t="n">
        <f aca="false">T15-U15</f>
        <v>14280</v>
      </c>
      <c r="W15" s="74"/>
      <c r="X15" s="75"/>
      <c r="Y15" s="13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</row>
    <row r="16" s="20" customFormat="true" ht="46.5" hidden="false" customHeight="true" outlineLevel="0" collapsed="false">
      <c r="A16" s="76"/>
      <c r="B16" s="77" t="s">
        <v>30</v>
      </c>
      <c r="C16" s="78" t="n">
        <f aca="false">SUM(C17:C27)</f>
        <v>10.3</v>
      </c>
      <c r="D16" s="79"/>
      <c r="E16" s="80" t="n">
        <f aca="false">SUM(E17:E27)</f>
        <v>238000</v>
      </c>
      <c r="F16" s="80" t="n">
        <f aca="false">SUM(F17:F27)</f>
        <v>223720</v>
      </c>
      <c r="G16" s="81" t="n">
        <f aca="false">SUM(G17:G27)</f>
        <v>14280</v>
      </c>
      <c r="H16" s="80"/>
      <c r="I16" s="82"/>
      <c r="J16" s="82"/>
      <c r="K16" s="82"/>
      <c r="L16" s="82"/>
      <c r="M16" s="83" t="n">
        <v>8.43</v>
      </c>
      <c r="N16" s="82"/>
      <c r="O16" s="80" t="n">
        <v>554519.8</v>
      </c>
      <c r="P16" s="80" t="n">
        <f aca="false">O16*0.94-0.012</f>
        <v>521248.6</v>
      </c>
      <c r="Q16" s="84" t="n">
        <f aca="false">O16-P16</f>
        <v>33271.2</v>
      </c>
      <c r="R16" s="85" t="n">
        <v>10.3</v>
      </c>
      <c r="S16" s="80"/>
      <c r="T16" s="80" t="n">
        <v>238000</v>
      </c>
      <c r="U16" s="80" t="n">
        <v>223720</v>
      </c>
      <c r="V16" s="84" t="n">
        <f aca="false">T16-U16</f>
        <v>14280</v>
      </c>
      <c r="W16" s="13"/>
      <c r="X16" s="13"/>
      <c r="Y16" s="13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  <row r="17" s="20" customFormat="true" ht="27" hidden="false" customHeight="true" outlineLevel="0" collapsed="false">
      <c r="A17" s="76" t="n">
        <v>1</v>
      </c>
      <c r="B17" s="77" t="s">
        <v>31</v>
      </c>
      <c r="C17" s="78" t="n">
        <v>2.099</v>
      </c>
      <c r="D17" s="79"/>
      <c r="E17" s="80" t="n">
        <v>29502.19149</v>
      </c>
      <c r="F17" s="80" t="n">
        <f aca="false">E17*0.94</f>
        <v>27732.0600006</v>
      </c>
      <c r="G17" s="81" t="n">
        <f aca="false">E17-F17</f>
        <v>1770.1314894</v>
      </c>
      <c r="H17" s="80"/>
      <c r="I17" s="82"/>
      <c r="J17" s="82"/>
      <c r="K17" s="82"/>
      <c r="L17" s="82"/>
      <c r="M17" s="82"/>
      <c r="N17" s="82"/>
      <c r="O17" s="82"/>
      <c r="P17" s="82"/>
      <c r="Q17" s="86"/>
      <c r="R17" s="85"/>
      <c r="S17" s="87"/>
      <c r="T17" s="80"/>
      <c r="U17" s="81"/>
      <c r="V17" s="84"/>
      <c r="W17" s="13"/>
      <c r="X17" s="13"/>
      <c r="Y17" s="13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</row>
    <row r="18" s="20" customFormat="true" ht="27" hidden="false" customHeight="true" outlineLevel="0" collapsed="false">
      <c r="A18" s="76" t="n">
        <v>2</v>
      </c>
      <c r="B18" s="77" t="s">
        <v>32</v>
      </c>
      <c r="C18" s="78" t="n">
        <v>1.54</v>
      </c>
      <c r="D18" s="79"/>
      <c r="E18" s="80" t="n">
        <v>59025.59669</v>
      </c>
      <c r="F18" s="80" t="n">
        <f aca="false">E18*0.94</f>
        <v>55484.0608886</v>
      </c>
      <c r="G18" s="81" t="n">
        <f aca="false">E18-F18</f>
        <v>3541.5358014</v>
      </c>
      <c r="H18" s="80"/>
      <c r="I18" s="82"/>
      <c r="J18" s="82"/>
      <c r="K18" s="82"/>
      <c r="L18" s="82"/>
      <c r="M18" s="82"/>
      <c r="N18" s="82"/>
      <c r="O18" s="82"/>
      <c r="P18" s="82"/>
      <c r="Q18" s="86"/>
      <c r="R18" s="85"/>
      <c r="S18" s="87"/>
      <c r="T18" s="80"/>
      <c r="U18" s="81"/>
      <c r="V18" s="84"/>
      <c r="W18" s="13"/>
      <c r="X18" s="13"/>
      <c r="Y18" s="13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</row>
    <row r="19" s="20" customFormat="true" ht="27" hidden="false" customHeight="true" outlineLevel="0" collapsed="false">
      <c r="A19" s="76" t="n">
        <v>3</v>
      </c>
      <c r="B19" s="77" t="s">
        <v>33</v>
      </c>
      <c r="C19" s="78" t="n">
        <v>1.224</v>
      </c>
      <c r="D19" s="79"/>
      <c r="E19" s="80" t="n">
        <v>10694.37791</v>
      </c>
      <c r="F19" s="80" t="n">
        <f aca="false">E19*0.94</f>
        <v>10052.7152354</v>
      </c>
      <c r="G19" s="81" t="n">
        <f aca="false">E19-F19</f>
        <v>641.6626746</v>
      </c>
      <c r="H19" s="80"/>
      <c r="I19" s="82"/>
      <c r="J19" s="82"/>
      <c r="K19" s="82"/>
      <c r="L19" s="82"/>
      <c r="M19" s="82"/>
      <c r="N19" s="82"/>
      <c r="O19" s="82"/>
      <c r="P19" s="82"/>
      <c r="Q19" s="86"/>
      <c r="R19" s="85"/>
      <c r="S19" s="87"/>
      <c r="T19" s="80"/>
      <c r="U19" s="81"/>
      <c r="V19" s="84"/>
      <c r="W19" s="13"/>
      <c r="X19" s="13"/>
      <c r="Y19" s="13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</row>
    <row r="20" s="20" customFormat="true" ht="27" hidden="false" customHeight="true" outlineLevel="0" collapsed="false">
      <c r="A20" s="76" t="n">
        <v>4</v>
      </c>
      <c r="B20" s="77" t="s">
        <v>34</v>
      </c>
      <c r="C20" s="78" t="n">
        <v>0.777</v>
      </c>
      <c r="D20" s="79"/>
      <c r="E20" s="80" t="n">
        <v>6356.21485</v>
      </c>
      <c r="F20" s="80" t="n">
        <f aca="false">E20*0.94</f>
        <v>5974.841959</v>
      </c>
      <c r="G20" s="81" t="n">
        <f aca="false">E20-F20</f>
        <v>381.372891</v>
      </c>
      <c r="H20" s="80"/>
      <c r="I20" s="82"/>
      <c r="J20" s="82"/>
      <c r="K20" s="82"/>
      <c r="L20" s="82"/>
      <c r="M20" s="82"/>
      <c r="N20" s="82"/>
      <c r="O20" s="82"/>
      <c r="P20" s="82"/>
      <c r="Q20" s="86"/>
      <c r="R20" s="85"/>
      <c r="S20" s="87"/>
      <c r="T20" s="80"/>
      <c r="U20" s="81"/>
      <c r="V20" s="84"/>
      <c r="W20" s="13"/>
      <c r="X20" s="13"/>
      <c r="Y20" s="13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</row>
    <row r="21" s="20" customFormat="true" ht="27" hidden="false" customHeight="true" outlineLevel="0" collapsed="false">
      <c r="A21" s="76" t="n">
        <v>5</v>
      </c>
      <c r="B21" s="77" t="s">
        <v>35</v>
      </c>
      <c r="C21" s="78" t="n">
        <v>0.62</v>
      </c>
      <c r="D21" s="79"/>
      <c r="E21" s="80" t="n">
        <v>9289.869</v>
      </c>
      <c r="F21" s="80" t="n">
        <f aca="false">E21*0.94</f>
        <v>8732.47686</v>
      </c>
      <c r="G21" s="81" t="n">
        <f aca="false">E21-F21</f>
        <v>557.39214</v>
      </c>
      <c r="H21" s="80"/>
      <c r="I21" s="82"/>
      <c r="J21" s="82"/>
      <c r="K21" s="82"/>
      <c r="L21" s="82"/>
      <c r="M21" s="82"/>
      <c r="N21" s="82"/>
      <c r="O21" s="82"/>
      <c r="P21" s="82"/>
      <c r="Q21" s="86"/>
      <c r="R21" s="85"/>
      <c r="S21" s="87"/>
      <c r="T21" s="80"/>
      <c r="U21" s="81"/>
      <c r="V21" s="84"/>
      <c r="W21" s="13"/>
      <c r="X21" s="13"/>
      <c r="Y21" s="13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</row>
    <row r="22" s="20" customFormat="true" ht="27" hidden="false" customHeight="true" outlineLevel="0" collapsed="false">
      <c r="A22" s="76" t="n">
        <v>6</v>
      </c>
      <c r="B22" s="77" t="s">
        <v>36</v>
      </c>
      <c r="C22" s="78" t="n">
        <v>0.867</v>
      </c>
      <c r="D22" s="79"/>
      <c r="E22" s="80" t="n">
        <v>9339.10707</v>
      </c>
      <c r="F22" s="80" t="n">
        <f aca="false">E22*0.94</f>
        <v>8778.7606458</v>
      </c>
      <c r="G22" s="81" t="n">
        <f aca="false">E22-F22</f>
        <v>560.346424200001</v>
      </c>
      <c r="H22" s="80"/>
      <c r="I22" s="82"/>
      <c r="J22" s="82"/>
      <c r="K22" s="82"/>
      <c r="L22" s="82"/>
      <c r="M22" s="82"/>
      <c r="N22" s="82"/>
      <c r="O22" s="82"/>
      <c r="P22" s="82"/>
      <c r="Q22" s="86"/>
      <c r="R22" s="85"/>
      <c r="S22" s="87"/>
      <c r="T22" s="80"/>
      <c r="U22" s="81"/>
      <c r="V22" s="84"/>
      <c r="W22" s="13"/>
      <c r="X22" s="13"/>
      <c r="Y22" s="13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</row>
    <row r="23" s="20" customFormat="true" ht="27" hidden="false" customHeight="true" outlineLevel="0" collapsed="false">
      <c r="A23" s="76" t="n">
        <v>7</v>
      </c>
      <c r="B23" s="77" t="s">
        <v>37</v>
      </c>
      <c r="C23" s="78" t="n">
        <v>0.681</v>
      </c>
      <c r="D23" s="79"/>
      <c r="E23" s="80" t="n">
        <v>10725.01888</v>
      </c>
      <c r="F23" s="80" t="n">
        <f aca="false">E23*0.94</f>
        <v>10081.5177472</v>
      </c>
      <c r="G23" s="81" t="n">
        <f aca="false">E23-F23</f>
        <v>643.5011328</v>
      </c>
      <c r="H23" s="80"/>
      <c r="I23" s="82"/>
      <c r="J23" s="82"/>
      <c r="K23" s="82"/>
      <c r="L23" s="82"/>
      <c r="M23" s="82"/>
      <c r="N23" s="82"/>
      <c r="O23" s="82"/>
      <c r="P23" s="82"/>
      <c r="Q23" s="86"/>
      <c r="R23" s="85"/>
      <c r="S23" s="87"/>
      <c r="T23" s="80"/>
      <c r="U23" s="81"/>
      <c r="V23" s="84"/>
      <c r="W23" s="13"/>
      <c r="X23" s="13"/>
      <c r="Y23" s="13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</row>
    <row r="24" s="20" customFormat="true" ht="27" hidden="false" customHeight="true" outlineLevel="0" collapsed="false">
      <c r="A24" s="76" t="n">
        <v>8</v>
      </c>
      <c r="B24" s="77" t="s">
        <v>38</v>
      </c>
      <c r="C24" s="78" t="n">
        <v>0.58</v>
      </c>
      <c r="D24" s="79"/>
      <c r="E24" s="80" t="n">
        <v>30012.85991</v>
      </c>
      <c r="F24" s="80" t="n">
        <f aca="false">E24*0.94</f>
        <v>28212.0883154</v>
      </c>
      <c r="G24" s="81" t="n">
        <f aca="false">E24-F24</f>
        <v>1800.7715946</v>
      </c>
      <c r="H24" s="80"/>
      <c r="I24" s="82"/>
      <c r="J24" s="82"/>
      <c r="K24" s="82"/>
      <c r="L24" s="82"/>
      <c r="M24" s="82"/>
      <c r="N24" s="82"/>
      <c r="O24" s="82"/>
      <c r="P24" s="82"/>
      <c r="Q24" s="86"/>
      <c r="R24" s="85"/>
      <c r="S24" s="87"/>
      <c r="T24" s="80"/>
      <c r="U24" s="81"/>
      <c r="V24" s="84"/>
      <c r="W24" s="13"/>
      <c r="X24" s="13"/>
      <c r="Y24" s="13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</row>
    <row r="25" s="20" customFormat="true" ht="27" hidden="false" customHeight="true" outlineLevel="0" collapsed="false">
      <c r="A25" s="76" t="n">
        <v>9</v>
      </c>
      <c r="B25" s="77" t="s">
        <v>39</v>
      </c>
      <c r="C25" s="78" t="n">
        <v>0.637</v>
      </c>
      <c r="D25" s="79"/>
      <c r="E25" s="80" t="n">
        <v>41026.1498</v>
      </c>
      <c r="F25" s="80" t="n">
        <f aca="false">E25*0.94</f>
        <v>38564.580812</v>
      </c>
      <c r="G25" s="81" t="n">
        <f aca="false">E25-F25</f>
        <v>2461.568988</v>
      </c>
      <c r="H25" s="80"/>
      <c r="I25" s="82"/>
      <c r="J25" s="82"/>
      <c r="K25" s="82"/>
      <c r="L25" s="82"/>
      <c r="M25" s="82"/>
      <c r="N25" s="82"/>
      <c r="O25" s="82"/>
      <c r="P25" s="82"/>
      <c r="Q25" s="86"/>
      <c r="R25" s="85"/>
      <c r="S25" s="87"/>
      <c r="T25" s="80"/>
      <c r="U25" s="81"/>
      <c r="V25" s="84"/>
      <c r="W25" s="13"/>
      <c r="X25" s="13"/>
      <c r="Y25" s="13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</row>
    <row r="26" s="20" customFormat="true" ht="27" hidden="false" customHeight="true" outlineLevel="0" collapsed="false">
      <c r="A26" s="76" t="n">
        <v>10</v>
      </c>
      <c r="B26" s="77" t="s">
        <v>40</v>
      </c>
      <c r="C26" s="78" t="n">
        <v>0.775</v>
      </c>
      <c r="D26" s="79"/>
      <c r="E26" s="80" t="n">
        <v>24048.28305</v>
      </c>
      <c r="F26" s="80" t="n">
        <f aca="false">E26*0.94</f>
        <v>22605.386067</v>
      </c>
      <c r="G26" s="81" t="n">
        <f aca="false">E26-F26</f>
        <v>1442.896983</v>
      </c>
      <c r="H26" s="80"/>
      <c r="I26" s="82"/>
      <c r="J26" s="82"/>
      <c r="K26" s="82"/>
      <c r="L26" s="82"/>
      <c r="M26" s="82"/>
      <c r="N26" s="82"/>
      <c r="O26" s="82"/>
      <c r="P26" s="82"/>
      <c r="Q26" s="86"/>
      <c r="R26" s="85"/>
      <c r="S26" s="87"/>
      <c r="T26" s="80"/>
      <c r="U26" s="81"/>
      <c r="V26" s="84"/>
      <c r="W26" s="13"/>
      <c r="X26" s="13"/>
      <c r="Y26" s="13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</row>
    <row r="27" s="20" customFormat="true" ht="27" hidden="false" customHeight="true" outlineLevel="0" collapsed="false">
      <c r="A27" s="76" t="n">
        <v>11</v>
      </c>
      <c r="B27" s="77" t="s">
        <v>41</v>
      </c>
      <c r="C27" s="78" t="n">
        <v>0.5</v>
      </c>
      <c r="D27" s="79"/>
      <c r="E27" s="80" t="n">
        <v>7980.33135</v>
      </c>
      <c r="F27" s="80" t="n">
        <f aca="false">E27*0.94</f>
        <v>7501.511469</v>
      </c>
      <c r="G27" s="81" t="n">
        <f aca="false">E27-F27</f>
        <v>478.819881</v>
      </c>
      <c r="H27" s="80"/>
      <c r="I27" s="82"/>
      <c r="J27" s="82"/>
      <c r="K27" s="82"/>
      <c r="L27" s="82"/>
      <c r="M27" s="82"/>
      <c r="N27" s="82"/>
      <c r="O27" s="82"/>
      <c r="P27" s="82"/>
      <c r="Q27" s="86"/>
      <c r="R27" s="85"/>
      <c r="S27" s="87"/>
      <c r="T27" s="80"/>
      <c r="U27" s="81"/>
      <c r="V27" s="84"/>
      <c r="W27" s="13"/>
      <c r="X27" s="13"/>
      <c r="Y27" s="13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</row>
    <row r="28" s="20" customFormat="true" ht="29.25" hidden="false" customHeight="true" outlineLevel="0" collapsed="false">
      <c r="A28" s="76"/>
      <c r="B28" s="69" t="s">
        <v>42</v>
      </c>
      <c r="C28" s="70" t="n">
        <f aca="false">C29+C39</f>
        <v>17.148</v>
      </c>
      <c r="D28" s="70"/>
      <c r="E28" s="70" t="n">
        <f aca="false">E29+E39</f>
        <v>197954.8</v>
      </c>
      <c r="F28" s="70" t="n">
        <f aca="false">F29+F39</f>
        <v>186077.496</v>
      </c>
      <c r="G28" s="70" t="n">
        <f aca="false">G29+G39</f>
        <v>11877.304</v>
      </c>
      <c r="H28" s="88" t="n">
        <f aca="false">H29+H39</f>
        <v>38.229</v>
      </c>
      <c r="I28" s="70"/>
      <c r="J28" s="70" t="n">
        <f aca="false">J29+J39</f>
        <v>449899.70902</v>
      </c>
      <c r="K28" s="70" t="n">
        <f aca="false">K29+K39</f>
        <v>422905.8364788</v>
      </c>
      <c r="L28" s="70" t="n">
        <f aca="false">L29+L39</f>
        <v>26993.8725412</v>
      </c>
      <c r="M28" s="70"/>
      <c r="N28" s="70"/>
      <c r="O28" s="70"/>
      <c r="P28" s="70"/>
      <c r="Q28" s="72"/>
      <c r="R28" s="73" t="e">
        <f aca="false">#REF!+#REF!</f>
        <v>#REF!</v>
      </c>
      <c r="S28" s="73"/>
      <c r="T28" s="67" t="e">
        <f aca="false">#REF!+#REF!</f>
        <v>#REF!</v>
      </c>
      <c r="U28" s="68" t="e">
        <f aca="false">#REF!+#REF!</f>
        <v>#REF!</v>
      </c>
      <c r="V28" s="72" t="e">
        <f aca="false">#REF!</f>
        <v>#REF!</v>
      </c>
      <c r="W28" s="89" t="n">
        <f aca="false">K28/J28*100</f>
        <v>94.0000244498935</v>
      </c>
      <c r="X28" s="13"/>
      <c r="Y28" s="13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</row>
    <row r="29" s="20" customFormat="true" ht="39.75" hidden="false" customHeight="true" outlineLevel="0" collapsed="false">
      <c r="A29" s="76"/>
      <c r="B29" s="77" t="s">
        <v>43</v>
      </c>
      <c r="C29" s="78" t="n">
        <f aca="false">SUM(C30:C32)</f>
        <v>0.405</v>
      </c>
      <c r="D29" s="80"/>
      <c r="E29" s="80" t="n">
        <f aca="false">SUM(E30:E32)</f>
        <v>23307.97567</v>
      </c>
      <c r="F29" s="80" t="n">
        <f aca="false">SUM(F30:F32)</f>
        <v>21909.4971298</v>
      </c>
      <c r="G29" s="80" t="n">
        <f aca="false">SUM(G30:G32)</f>
        <v>1398.4785402</v>
      </c>
      <c r="H29" s="78" t="n">
        <f aca="false">SUM(H32:H38)</f>
        <v>16.206</v>
      </c>
      <c r="I29" s="70"/>
      <c r="J29" s="80" t="n">
        <f aca="false">SUM(J32:J38)</f>
        <v>252439.14993</v>
      </c>
      <c r="K29" s="80" t="n">
        <f aca="false">SUM(K32:K38)</f>
        <v>237292.8109342</v>
      </c>
      <c r="L29" s="80" t="n">
        <f aca="false">SUM(L32:L38)</f>
        <v>15146.3389958</v>
      </c>
      <c r="M29" s="70"/>
      <c r="N29" s="70"/>
      <c r="O29" s="70"/>
      <c r="P29" s="70"/>
      <c r="Q29" s="72"/>
      <c r="R29" s="73"/>
      <c r="S29" s="73"/>
      <c r="T29" s="67"/>
      <c r="U29" s="68"/>
      <c r="V29" s="72"/>
      <c r="W29" s="74"/>
      <c r="X29" s="13"/>
      <c r="Y29" s="13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</row>
    <row r="30" s="20" customFormat="true" ht="27" hidden="false" customHeight="true" outlineLevel="0" collapsed="false">
      <c r="A30" s="76" t="n">
        <v>12</v>
      </c>
      <c r="B30" s="77" t="s">
        <v>44</v>
      </c>
      <c r="C30" s="78" t="n">
        <v>0.29</v>
      </c>
      <c r="D30" s="70"/>
      <c r="E30" s="80" t="n">
        <v>3492.8072</v>
      </c>
      <c r="F30" s="80" t="n">
        <f aca="false">E30*0.94</f>
        <v>3283.238768</v>
      </c>
      <c r="G30" s="81" t="n">
        <f aca="false">E30-F30</f>
        <v>209.568432</v>
      </c>
      <c r="H30" s="70"/>
      <c r="I30" s="70"/>
      <c r="J30" s="70"/>
      <c r="K30" s="70"/>
      <c r="L30" s="70"/>
      <c r="M30" s="70"/>
      <c r="N30" s="70"/>
      <c r="O30" s="70"/>
      <c r="P30" s="70"/>
      <c r="Q30" s="72"/>
      <c r="R30" s="73"/>
      <c r="S30" s="73"/>
      <c r="T30" s="67"/>
      <c r="U30" s="68"/>
      <c r="V30" s="72"/>
      <c r="W30" s="74"/>
      <c r="X30" s="13"/>
      <c r="Y30" s="13"/>
      <c r="Z30" s="4"/>
      <c r="AA30" s="4" t="s">
        <v>45</v>
      </c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</row>
    <row r="31" s="20" customFormat="true" ht="42" hidden="false" customHeight="true" outlineLevel="0" collapsed="false">
      <c r="A31" s="76" t="n">
        <v>13</v>
      </c>
      <c r="B31" s="77" t="s">
        <v>46</v>
      </c>
      <c r="C31" s="78" t="n">
        <v>0.115</v>
      </c>
      <c r="D31" s="90"/>
      <c r="E31" s="80" t="n">
        <v>2417.9584</v>
      </c>
      <c r="F31" s="80" t="n">
        <f aca="false">E31*0.94</f>
        <v>2272.880896</v>
      </c>
      <c r="G31" s="81" t="n">
        <f aca="false">E31-F31</f>
        <v>145.077504</v>
      </c>
      <c r="H31" s="70"/>
      <c r="I31" s="70"/>
      <c r="J31" s="70"/>
      <c r="K31" s="70"/>
      <c r="L31" s="70"/>
      <c r="M31" s="70"/>
      <c r="N31" s="70"/>
      <c r="O31" s="70"/>
      <c r="P31" s="70"/>
      <c r="Q31" s="72"/>
      <c r="R31" s="73"/>
      <c r="S31" s="73"/>
      <c r="T31" s="67"/>
      <c r="U31" s="68"/>
      <c r="V31" s="72"/>
      <c r="W31" s="74"/>
      <c r="X31" s="13"/>
      <c r="Y31" s="13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</row>
    <row r="32" s="20" customFormat="true" ht="27" hidden="false" customHeight="true" outlineLevel="0" collapsed="false">
      <c r="A32" s="76" t="n">
        <v>14</v>
      </c>
      <c r="B32" s="77" t="s">
        <v>47</v>
      </c>
      <c r="C32" s="78"/>
      <c r="D32" s="90"/>
      <c r="E32" s="80" t="n">
        <v>17397.21007</v>
      </c>
      <c r="F32" s="80" t="n">
        <f aca="false">E32*0.94</f>
        <v>16353.3774658</v>
      </c>
      <c r="G32" s="81" t="n">
        <f aca="false">E32-F32</f>
        <v>1043.8326042</v>
      </c>
      <c r="H32" s="78" t="n">
        <v>1.689</v>
      </c>
      <c r="I32" s="70"/>
      <c r="J32" s="80" t="n">
        <v>11596.21993</v>
      </c>
      <c r="K32" s="80" t="n">
        <f aca="false">J32*0.94</f>
        <v>10900.4467342</v>
      </c>
      <c r="L32" s="80" t="n">
        <f aca="false">J32-K32</f>
        <v>695.7731958</v>
      </c>
      <c r="M32" s="70"/>
      <c r="N32" s="70"/>
      <c r="O32" s="70"/>
      <c r="P32" s="70"/>
      <c r="Q32" s="72"/>
      <c r="R32" s="73"/>
      <c r="S32" s="73"/>
      <c r="T32" s="67"/>
      <c r="U32" s="68"/>
      <c r="V32" s="72"/>
      <c r="W32" s="74"/>
      <c r="X32" s="13"/>
      <c r="Y32" s="13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</row>
    <row r="33" s="20" customFormat="true" ht="27" hidden="false" customHeight="true" outlineLevel="0" collapsed="false">
      <c r="A33" s="76" t="n">
        <v>15</v>
      </c>
      <c r="B33" s="77" t="s">
        <v>48</v>
      </c>
      <c r="C33" s="78"/>
      <c r="D33" s="90"/>
      <c r="E33" s="80"/>
      <c r="F33" s="80"/>
      <c r="G33" s="81"/>
      <c r="H33" s="78" t="n">
        <v>4.246</v>
      </c>
      <c r="I33" s="70"/>
      <c r="J33" s="80" t="n">
        <v>66892.32</v>
      </c>
      <c r="K33" s="80" t="n">
        <f aca="false">J33*0.94</f>
        <v>62878.7808</v>
      </c>
      <c r="L33" s="80" t="n">
        <f aca="false">J33-K33</f>
        <v>4013.53920000001</v>
      </c>
      <c r="M33" s="70"/>
      <c r="N33" s="70"/>
      <c r="O33" s="70"/>
      <c r="P33" s="70"/>
      <c r="Q33" s="72"/>
      <c r="R33" s="73"/>
      <c r="S33" s="73"/>
      <c r="T33" s="67"/>
      <c r="U33" s="68"/>
      <c r="V33" s="72"/>
      <c r="W33" s="74"/>
      <c r="X33" s="13"/>
      <c r="Y33" s="13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</row>
    <row r="34" s="20" customFormat="true" ht="27" hidden="false" customHeight="true" outlineLevel="0" collapsed="false">
      <c r="A34" s="76" t="n">
        <v>16</v>
      </c>
      <c r="B34" s="77" t="s">
        <v>49</v>
      </c>
      <c r="C34" s="78"/>
      <c r="D34" s="90"/>
      <c r="E34" s="80"/>
      <c r="F34" s="80"/>
      <c r="G34" s="81"/>
      <c r="H34" s="78" t="n">
        <v>2.993</v>
      </c>
      <c r="I34" s="70"/>
      <c r="J34" s="80" t="n">
        <v>21251.69</v>
      </c>
      <c r="K34" s="80" t="n">
        <f aca="false">J34*0.94</f>
        <v>19976.5886</v>
      </c>
      <c r="L34" s="80" t="n">
        <f aca="false">J34-K34</f>
        <v>1275.1014</v>
      </c>
      <c r="M34" s="70"/>
      <c r="N34" s="70"/>
      <c r="O34" s="70"/>
      <c r="P34" s="70"/>
      <c r="Q34" s="72"/>
      <c r="R34" s="73"/>
      <c r="S34" s="73"/>
      <c r="T34" s="67"/>
      <c r="U34" s="68"/>
      <c r="V34" s="72"/>
      <c r="W34" s="74"/>
      <c r="X34" s="13"/>
      <c r="Y34" s="13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</row>
    <row r="35" s="20" customFormat="true" ht="27" hidden="false" customHeight="true" outlineLevel="0" collapsed="false">
      <c r="A35" s="76" t="n">
        <v>17</v>
      </c>
      <c r="B35" s="77" t="s">
        <v>50</v>
      </c>
      <c r="C35" s="78"/>
      <c r="D35" s="90"/>
      <c r="E35" s="80"/>
      <c r="F35" s="80"/>
      <c r="G35" s="81"/>
      <c r="H35" s="78" t="n">
        <v>1.425</v>
      </c>
      <c r="I35" s="70"/>
      <c r="J35" s="80" t="n">
        <v>14911.93</v>
      </c>
      <c r="K35" s="80" t="n">
        <f aca="false">J35*0.94</f>
        <v>14017.2142</v>
      </c>
      <c r="L35" s="80" t="n">
        <f aca="false">J35-K35</f>
        <v>894.7158</v>
      </c>
      <c r="M35" s="70"/>
      <c r="N35" s="70"/>
      <c r="O35" s="70"/>
      <c r="P35" s="70"/>
      <c r="Q35" s="72"/>
      <c r="R35" s="73"/>
      <c r="S35" s="73"/>
      <c r="T35" s="67"/>
      <c r="U35" s="68"/>
      <c r="V35" s="72"/>
      <c r="W35" s="74"/>
      <c r="X35" s="13"/>
      <c r="Y35" s="13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</row>
    <row r="36" s="20" customFormat="true" ht="27" hidden="false" customHeight="true" outlineLevel="0" collapsed="false">
      <c r="A36" s="76" t="n">
        <v>18</v>
      </c>
      <c r="B36" s="77" t="s">
        <v>51</v>
      </c>
      <c r="C36" s="78"/>
      <c r="D36" s="90"/>
      <c r="E36" s="80"/>
      <c r="F36" s="80"/>
      <c r="G36" s="81"/>
      <c r="H36" s="78" t="n">
        <v>1.06</v>
      </c>
      <c r="I36" s="70"/>
      <c r="J36" s="80" t="n">
        <v>22860.11</v>
      </c>
      <c r="K36" s="80" t="n">
        <f aca="false">J36*0.94</f>
        <v>21488.5034</v>
      </c>
      <c r="L36" s="80" t="n">
        <f aca="false">J36-K36</f>
        <v>1371.6066</v>
      </c>
      <c r="M36" s="70"/>
      <c r="N36" s="70"/>
      <c r="O36" s="70"/>
      <c r="P36" s="70"/>
      <c r="Q36" s="72"/>
      <c r="R36" s="73"/>
      <c r="S36" s="73"/>
      <c r="T36" s="67"/>
      <c r="U36" s="68"/>
      <c r="V36" s="72"/>
      <c r="W36" s="74"/>
      <c r="X36" s="13"/>
      <c r="Y36" s="13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</row>
    <row r="37" s="20" customFormat="true" ht="27" hidden="false" customHeight="true" outlineLevel="0" collapsed="false">
      <c r="A37" s="76" t="n">
        <v>19</v>
      </c>
      <c r="B37" s="77" t="s">
        <v>52</v>
      </c>
      <c r="C37" s="78"/>
      <c r="D37" s="90"/>
      <c r="E37" s="80"/>
      <c r="F37" s="80"/>
      <c r="G37" s="81"/>
      <c r="H37" s="78" t="n">
        <v>0.793</v>
      </c>
      <c r="I37" s="70"/>
      <c r="J37" s="80" t="n">
        <v>18359.7</v>
      </c>
      <c r="K37" s="80" t="n">
        <f aca="false">J37*0.94</f>
        <v>17258.118</v>
      </c>
      <c r="L37" s="80" t="n">
        <f aca="false">J37-K37</f>
        <v>1101.582</v>
      </c>
      <c r="M37" s="70"/>
      <c r="N37" s="70"/>
      <c r="O37" s="70"/>
      <c r="P37" s="70"/>
      <c r="Q37" s="72"/>
      <c r="R37" s="73"/>
      <c r="S37" s="73"/>
      <c r="T37" s="67"/>
      <c r="U37" s="68"/>
      <c r="V37" s="72"/>
      <c r="W37" s="74"/>
      <c r="X37" s="13" t="s">
        <v>45</v>
      </c>
      <c r="Y37" s="13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</row>
    <row r="38" s="20" customFormat="true" ht="27" hidden="false" customHeight="true" outlineLevel="0" collapsed="false">
      <c r="A38" s="76" t="n">
        <v>20</v>
      </c>
      <c r="B38" s="77" t="s">
        <v>53</v>
      </c>
      <c r="C38" s="78"/>
      <c r="D38" s="90"/>
      <c r="E38" s="80"/>
      <c r="F38" s="80"/>
      <c r="G38" s="81"/>
      <c r="H38" s="78" t="n">
        <v>4</v>
      </c>
      <c r="I38" s="70"/>
      <c r="J38" s="80" t="n">
        <v>96567.18</v>
      </c>
      <c r="K38" s="80" t="n">
        <f aca="false">J38*0.94+0.01</f>
        <v>90773.1592</v>
      </c>
      <c r="L38" s="80" t="n">
        <f aca="false">J38-K38</f>
        <v>5794.02080000001</v>
      </c>
      <c r="M38" s="70"/>
      <c r="N38" s="70"/>
      <c r="O38" s="70"/>
      <c r="P38" s="70"/>
      <c r="Q38" s="72"/>
      <c r="R38" s="73"/>
      <c r="S38" s="73"/>
      <c r="T38" s="67"/>
      <c r="U38" s="68"/>
      <c r="V38" s="72"/>
      <c r="W38" s="74"/>
      <c r="X38" s="13"/>
      <c r="Y38" s="13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</row>
    <row r="39" s="20" customFormat="true" ht="28.5" hidden="false" customHeight="true" outlineLevel="0" collapsed="false">
      <c r="A39" s="76"/>
      <c r="B39" s="77" t="s">
        <v>54</v>
      </c>
      <c r="C39" s="78" t="n">
        <f aca="false">SUM(C40:C45)</f>
        <v>16.743</v>
      </c>
      <c r="D39" s="90"/>
      <c r="E39" s="80" t="n">
        <f aca="false">SUM(E40:E46)</f>
        <v>174646.82433</v>
      </c>
      <c r="F39" s="80" t="n">
        <f aca="false">SUM(F40:F46)</f>
        <v>164167.9988702</v>
      </c>
      <c r="G39" s="80" t="n">
        <f aca="false">SUM(G40:G46)</f>
        <v>10478.8254598</v>
      </c>
      <c r="H39" s="78" t="n">
        <f aca="false">SUM(H46:H49)</f>
        <v>22.023</v>
      </c>
      <c r="I39" s="70"/>
      <c r="J39" s="80" t="n">
        <f aca="false">SUM(J46:J49)</f>
        <v>197460.55909</v>
      </c>
      <c r="K39" s="80" t="n">
        <f aca="false">SUM(K46:K49)</f>
        <v>185613.0255446</v>
      </c>
      <c r="L39" s="80" t="n">
        <f aca="false">SUM(L46:L49)</f>
        <v>11847.5335454</v>
      </c>
      <c r="M39" s="70"/>
      <c r="N39" s="70"/>
      <c r="O39" s="70"/>
      <c r="P39" s="70"/>
      <c r="Q39" s="72"/>
      <c r="R39" s="73"/>
      <c r="S39" s="73"/>
      <c r="T39" s="67"/>
      <c r="U39" s="68"/>
      <c r="V39" s="72"/>
      <c r="W39" s="74"/>
      <c r="X39" s="13"/>
      <c r="Y39" s="13"/>
      <c r="Z39" s="4" t="s">
        <v>23</v>
      </c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</row>
    <row r="40" s="20" customFormat="true" ht="27.75" hidden="false" customHeight="true" outlineLevel="0" collapsed="false">
      <c r="A40" s="76" t="n">
        <v>21</v>
      </c>
      <c r="B40" s="77" t="s">
        <v>55</v>
      </c>
      <c r="C40" s="78" t="n">
        <v>8.982</v>
      </c>
      <c r="D40" s="70"/>
      <c r="E40" s="80" t="n">
        <v>49808.84927</v>
      </c>
      <c r="F40" s="80" t="n">
        <f aca="false">E40*0.94</f>
        <v>46820.3183138</v>
      </c>
      <c r="G40" s="81" t="n">
        <f aca="false">E40-F40</f>
        <v>2988.5309562</v>
      </c>
      <c r="H40" s="70"/>
      <c r="I40" s="70"/>
      <c r="J40" s="70"/>
      <c r="K40" s="70"/>
      <c r="L40" s="70"/>
      <c r="M40" s="70"/>
      <c r="N40" s="70"/>
      <c r="O40" s="70"/>
      <c r="P40" s="70"/>
      <c r="Q40" s="72"/>
      <c r="R40" s="73"/>
      <c r="S40" s="73"/>
      <c r="T40" s="67"/>
      <c r="U40" s="68"/>
      <c r="V40" s="72"/>
      <c r="W40" s="74"/>
      <c r="X40" s="13"/>
      <c r="Y40" s="13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</row>
    <row r="41" s="20" customFormat="true" ht="23.25" hidden="false" customHeight="true" outlineLevel="0" collapsed="false">
      <c r="A41" s="76" t="n">
        <v>22</v>
      </c>
      <c r="B41" s="77" t="s">
        <v>56</v>
      </c>
      <c r="C41" s="78" t="n">
        <v>1</v>
      </c>
      <c r="D41" s="90"/>
      <c r="E41" s="80" t="n">
        <v>8150.9138</v>
      </c>
      <c r="F41" s="80" t="n">
        <f aca="false">E41*0.94</f>
        <v>7661.858972</v>
      </c>
      <c r="G41" s="81" t="n">
        <f aca="false">E41-F41</f>
        <v>489.054828</v>
      </c>
      <c r="H41" s="70"/>
      <c r="I41" s="70"/>
      <c r="J41" s="70"/>
      <c r="K41" s="70"/>
      <c r="L41" s="70"/>
      <c r="M41" s="70"/>
      <c r="N41" s="70"/>
      <c r="O41" s="70"/>
      <c r="P41" s="70"/>
      <c r="Q41" s="72"/>
      <c r="R41" s="73"/>
      <c r="S41" s="73"/>
      <c r="T41" s="67"/>
      <c r="U41" s="68"/>
      <c r="V41" s="72"/>
      <c r="W41" s="74"/>
      <c r="X41" s="13"/>
      <c r="Y41" s="13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</row>
    <row r="42" s="20" customFormat="true" ht="27" hidden="false" customHeight="true" outlineLevel="0" collapsed="false">
      <c r="A42" s="76" t="n">
        <v>23</v>
      </c>
      <c r="B42" s="77" t="s">
        <v>47</v>
      </c>
      <c r="C42" s="78" t="n">
        <v>0.815</v>
      </c>
      <c r="D42" s="90"/>
      <c r="E42" s="80" t="n">
        <v>5040.38</v>
      </c>
      <c r="F42" s="80" t="n">
        <f aca="false">E42*0.94</f>
        <v>4737.9572</v>
      </c>
      <c r="G42" s="81" t="n">
        <f aca="false">E42-F42</f>
        <v>302.4228</v>
      </c>
      <c r="H42" s="70"/>
      <c r="I42" s="70"/>
      <c r="J42" s="70"/>
      <c r="K42" s="70"/>
      <c r="L42" s="70"/>
      <c r="M42" s="70"/>
      <c r="N42" s="70"/>
      <c r="O42" s="70"/>
      <c r="P42" s="70"/>
      <c r="Q42" s="72"/>
      <c r="R42" s="73"/>
      <c r="S42" s="73"/>
      <c r="T42" s="67"/>
      <c r="U42" s="68"/>
      <c r="V42" s="72"/>
      <c r="W42" s="74"/>
      <c r="X42" s="13"/>
      <c r="Y42" s="13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</row>
    <row r="43" s="20" customFormat="true" ht="27" hidden="false" customHeight="true" outlineLevel="0" collapsed="false">
      <c r="A43" s="76" t="n">
        <v>24</v>
      </c>
      <c r="B43" s="77" t="s">
        <v>57</v>
      </c>
      <c r="C43" s="78" t="n">
        <v>2.639</v>
      </c>
      <c r="D43" s="90"/>
      <c r="E43" s="80" t="n">
        <v>6373.59126</v>
      </c>
      <c r="F43" s="80" t="n">
        <f aca="false">E43*0.94</f>
        <v>5991.1757844</v>
      </c>
      <c r="G43" s="81" t="n">
        <f aca="false">E43-F43</f>
        <v>382.415475600001</v>
      </c>
      <c r="H43" s="70"/>
      <c r="I43" s="70"/>
      <c r="J43" s="70"/>
      <c r="K43" s="70"/>
      <c r="L43" s="70"/>
      <c r="M43" s="70"/>
      <c r="N43" s="70"/>
      <c r="O43" s="70"/>
      <c r="P43" s="70"/>
      <c r="Q43" s="72"/>
      <c r="R43" s="73"/>
      <c r="S43" s="73"/>
      <c r="T43" s="67"/>
      <c r="U43" s="68"/>
      <c r="V43" s="72"/>
      <c r="W43" s="74" t="s">
        <v>45</v>
      </c>
      <c r="X43" s="13"/>
      <c r="Y43" s="13"/>
      <c r="Z43" s="4" t="s">
        <v>23</v>
      </c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</row>
    <row r="44" s="20" customFormat="true" ht="27" hidden="false" customHeight="true" outlineLevel="0" collapsed="false">
      <c r="A44" s="76" t="n">
        <v>25</v>
      </c>
      <c r="B44" s="77" t="s">
        <v>58</v>
      </c>
      <c r="C44" s="78" t="n">
        <v>2.775</v>
      </c>
      <c r="D44" s="90"/>
      <c r="E44" s="80" t="n">
        <v>16876.04</v>
      </c>
      <c r="F44" s="80" t="n">
        <f aca="false">E44*0.94</f>
        <v>15863.4776</v>
      </c>
      <c r="G44" s="81" t="n">
        <f aca="false">E44-F44</f>
        <v>1012.5624</v>
      </c>
      <c r="H44" s="70"/>
      <c r="I44" s="70"/>
      <c r="J44" s="70"/>
      <c r="K44" s="70"/>
      <c r="L44" s="70"/>
      <c r="M44" s="70"/>
      <c r="N44" s="70"/>
      <c r="O44" s="70"/>
      <c r="P44" s="70"/>
      <c r="Q44" s="72"/>
      <c r="R44" s="73"/>
      <c r="S44" s="73"/>
      <c r="T44" s="67"/>
      <c r="U44" s="68"/>
      <c r="V44" s="72"/>
      <c r="W44" s="74"/>
      <c r="X44" s="13"/>
      <c r="Y44" s="13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</row>
    <row r="45" s="20" customFormat="true" ht="27" hidden="false" customHeight="true" outlineLevel="0" collapsed="false">
      <c r="A45" s="49" t="n">
        <v>26</v>
      </c>
      <c r="B45" s="77" t="s">
        <v>59</v>
      </c>
      <c r="C45" s="78" t="n">
        <v>0.532</v>
      </c>
      <c r="D45" s="90"/>
      <c r="E45" s="80" t="n">
        <v>3290.65</v>
      </c>
      <c r="F45" s="80" t="n">
        <f aca="false">E45*0.94</f>
        <v>3093.211</v>
      </c>
      <c r="G45" s="81" t="n">
        <f aca="false">E45-F45</f>
        <v>197.439</v>
      </c>
      <c r="H45" s="70"/>
      <c r="I45" s="70"/>
      <c r="J45" s="70"/>
      <c r="K45" s="70"/>
      <c r="L45" s="70"/>
      <c r="M45" s="70"/>
      <c r="N45" s="70"/>
      <c r="O45" s="70"/>
      <c r="P45" s="70"/>
      <c r="Q45" s="72"/>
      <c r="R45" s="73"/>
      <c r="S45" s="73"/>
      <c r="T45" s="67"/>
      <c r="U45" s="68"/>
      <c r="V45" s="72"/>
      <c r="W45" s="74"/>
      <c r="X45" s="13"/>
      <c r="Y45" s="13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</row>
    <row r="46" s="20" customFormat="true" ht="27" hidden="false" customHeight="true" outlineLevel="0" collapsed="false">
      <c r="A46" s="49" t="n">
        <v>27</v>
      </c>
      <c r="B46" s="91" t="s">
        <v>60</v>
      </c>
      <c r="C46" s="78"/>
      <c r="D46" s="90"/>
      <c r="E46" s="80" t="n">
        <v>85106.4</v>
      </c>
      <c r="F46" s="80" t="n">
        <v>80000</v>
      </c>
      <c r="G46" s="81" t="n">
        <f aca="false">E46-F46</f>
        <v>5106.39999999999</v>
      </c>
      <c r="H46" s="78" t="n">
        <v>10.36</v>
      </c>
      <c r="I46" s="70"/>
      <c r="J46" s="80" t="n">
        <v>25000</v>
      </c>
      <c r="K46" s="80" t="n">
        <f aca="false">J46*0.94</f>
        <v>23500</v>
      </c>
      <c r="L46" s="80" t="n">
        <f aca="false">J46-K46</f>
        <v>1500</v>
      </c>
      <c r="M46" s="70"/>
      <c r="N46" s="70"/>
      <c r="O46" s="70"/>
      <c r="P46" s="70"/>
      <c r="Q46" s="72"/>
      <c r="R46" s="92"/>
      <c r="S46" s="92"/>
      <c r="T46" s="93"/>
      <c r="U46" s="94"/>
      <c r="V46" s="95"/>
      <c r="W46" s="74"/>
      <c r="X46" s="13"/>
      <c r="Y46" s="13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</row>
    <row r="47" s="20" customFormat="true" ht="27" hidden="false" customHeight="true" outlineLevel="0" collapsed="false">
      <c r="A47" s="49" t="n">
        <v>28</v>
      </c>
      <c r="B47" s="77" t="s">
        <v>61</v>
      </c>
      <c r="C47" s="78"/>
      <c r="D47" s="90"/>
      <c r="E47" s="96"/>
      <c r="F47" s="80"/>
      <c r="G47" s="81"/>
      <c r="H47" s="78" t="n">
        <v>3.119</v>
      </c>
      <c r="I47" s="70"/>
      <c r="J47" s="80" t="n">
        <v>46563.41969</v>
      </c>
      <c r="K47" s="80" t="n">
        <f aca="false">J47*0.94</f>
        <v>43769.6145086</v>
      </c>
      <c r="L47" s="80" t="n">
        <f aca="false">J47-K47</f>
        <v>2793.8051814</v>
      </c>
      <c r="M47" s="70"/>
      <c r="N47" s="70"/>
      <c r="O47" s="70"/>
      <c r="P47" s="70"/>
      <c r="Q47" s="72"/>
      <c r="R47" s="92"/>
      <c r="S47" s="92"/>
      <c r="T47" s="93"/>
      <c r="U47" s="94"/>
      <c r="V47" s="95"/>
      <c r="W47" s="74"/>
      <c r="X47" s="13"/>
      <c r="Y47" s="13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</row>
    <row r="48" s="20" customFormat="true" ht="27" hidden="false" customHeight="true" outlineLevel="0" collapsed="false">
      <c r="A48" s="49" t="n">
        <v>29</v>
      </c>
      <c r="B48" s="77" t="s">
        <v>62</v>
      </c>
      <c r="C48" s="78"/>
      <c r="D48" s="90"/>
      <c r="E48" s="96"/>
      <c r="F48" s="80"/>
      <c r="G48" s="81"/>
      <c r="H48" s="78" t="n">
        <v>7.424</v>
      </c>
      <c r="I48" s="70"/>
      <c r="J48" s="80" t="n">
        <v>103102.0194</v>
      </c>
      <c r="K48" s="80" t="n">
        <f aca="false">J48*0.94</f>
        <v>96915.898236</v>
      </c>
      <c r="L48" s="80" t="n">
        <f aca="false">J48-K48</f>
        <v>6186.12116400001</v>
      </c>
      <c r="M48" s="70"/>
      <c r="N48" s="70"/>
      <c r="O48" s="70"/>
      <c r="P48" s="70"/>
      <c r="Q48" s="72"/>
      <c r="R48" s="92"/>
      <c r="S48" s="92"/>
      <c r="T48" s="93"/>
      <c r="U48" s="94"/>
      <c r="V48" s="95"/>
      <c r="W48" s="74"/>
      <c r="X48" s="13"/>
      <c r="Y48" s="13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</row>
    <row r="49" s="20" customFormat="true" ht="36.8" hidden="false" customHeight="true" outlineLevel="0" collapsed="false">
      <c r="A49" s="49" t="n">
        <v>30</v>
      </c>
      <c r="B49" s="77" t="s">
        <v>63</v>
      </c>
      <c r="C49" s="78"/>
      <c r="D49" s="90"/>
      <c r="E49" s="96"/>
      <c r="F49" s="80"/>
      <c r="G49" s="81"/>
      <c r="H49" s="78" t="n">
        <v>1.12</v>
      </c>
      <c r="I49" s="70"/>
      <c r="J49" s="80" t="n">
        <v>22795.12</v>
      </c>
      <c r="K49" s="80" t="n">
        <f aca="false">J49*0.94+0.1</f>
        <v>21427.5128</v>
      </c>
      <c r="L49" s="80" t="n">
        <f aca="false">J49-K49</f>
        <v>1367.6072</v>
      </c>
      <c r="M49" s="70"/>
      <c r="N49" s="70"/>
      <c r="O49" s="70"/>
      <c r="P49" s="70"/>
      <c r="Q49" s="72"/>
      <c r="R49" s="92"/>
      <c r="S49" s="92"/>
      <c r="T49" s="93"/>
      <c r="U49" s="94"/>
      <c r="V49" s="95"/>
      <c r="W49" s="74"/>
      <c r="X49" s="13"/>
      <c r="Y49" s="13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</row>
    <row r="50" s="20" customFormat="true" ht="27" hidden="false" customHeight="true" outlineLevel="0" collapsed="false">
      <c r="A50" s="49"/>
      <c r="B50" s="97" t="s">
        <v>64</v>
      </c>
      <c r="C50" s="70" t="n">
        <f aca="false">SUM(C52)+C53</f>
        <v>1.392</v>
      </c>
      <c r="D50" s="98"/>
      <c r="E50" s="99" t="n">
        <f aca="false">E52+E53</f>
        <v>28663.3</v>
      </c>
      <c r="F50" s="99" t="n">
        <f aca="false">F52+F53</f>
        <v>26943.5</v>
      </c>
      <c r="G50" s="99" t="n">
        <f aca="false">G52+G53</f>
        <v>1719.8</v>
      </c>
      <c r="H50" s="99" t="n">
        <f aca="false">H55</f>
        <v>0</v>
      </c>
      <c r="I50" s="99" t="n">
        <f aca="false">I54</f>
        <v>18</v>
      </c>
      <c r="J50" s="99" t="n">
        <f aca="false">J54+J55</f>
        <v>11327</v>
      </c>
      <c r="K50" s="99" t="n">
        <f aca="false">K54+K55</f>
        <v>10647.4</v>
      </c>
      <c r="L50" s="100" t="n">
        <f aca="false">L54+L55</f>
        <v>679.6</v>
      </c>
      <c r="M50" s="100" t="n">
        <f aca="false">M55</f>
        <v>0.852</v>
      </c>
      <c r="N50" s="100"/>
      <c r="O50" s="100" t="n">
        <f aca="false">O55</f>
        <v>66583.5</v>
      </c>
      <c r="P50" s="100" t="n">
        <f aca="false">P55</f>
        <v>62588.5</v>
      </c>
      <c r="Q50" s="101" t="n">
        <f aca="false">Q55</f>
        <v>3995</v>
      </c>
      <c r="R50" s="102" t="e">
        <f aca="false">#REF!+#REF!</f>
        <v>#REF!</v>
      </c>
      <c r="S50" s="102"/>
      <c r="T50" s="103" t="e">
        <f aca="false">#REF!+#REF!</f>
        <v>#REF!</v>
      </c>
      <c r="U50" s="104" t="e">
        <f aca="false">#REF!+#REF!</f>
        <v>#REF!</v>
      </c>
      <c r="V50" s="105" t="e">
        <f aca="false">#REF!+#REF!</f>
        <v>#REF!</v>
      </c>
      <c r="W50" s="13"/>
      <c r="X50" s="13"/>
      <c r="Y50" s="13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</row>
    <row r="51" s="20" customFormat="true" ht="24.85" hidden="false" customHeight="true" outlineLevel="0" collapsed="false">
      <c r="A51" s="49"/>
      <c r="B51" s="77" t="s">
        <v>65</v>
      </c>
      <c r="C51" s="70"/>
      <c r="D51" s="98"/>
      <c r="E51" s="99"/>
      <c r="F51" s="99"/>
      <c r="G51" s="106"/>
      <c r="H51" s="99"/>
      <c r="I51" s="99"/>
      <c r="J51" s="99"/>
      <c r="K51" s="99"/>
      <c r="L51" s="100"/>
      <c r="M51" s="100"/>
      <c r="N51" s="100"/>
      <c r="O51" s="100"/>
      <c r="P51" s="100"/>
      <c r="Q51" s="101"/>
      <c r="R51" s="102"/>
      <c r="S51" s="102"/>
      <c r="T51" s="103"/>
      <c r="U51" s="104"/>
      <c r="V51" s="105"/>
      <c r="W51" s="13"/>
      <c r="X51" s="13"/>
      <c r="Y51" s="13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</row>
    <row r="52" s="20" customFormat="true" ht="27" hidden="false" customHeight="true" outlineLevel="0" collapsed="false">
      <c r="A52" s="76" t="n">
        <v>31</v>
      </c>
      <c r="B52" s="77" t="s">
        <v>66</v>
      </c>
      <c r="C52" s="78" t="n">
        <v>0.73</v>
      </c>
      <c r="D52" s="107"/>
      <c r="E52" s="80" t="n">
        <v>7163.3</v>
      </c>
      <c r="F52" s="80" t="n">
        <v>6733.5</v>
      </c>
      <c r="G52" s="81" t="n">
        <v>429.8</v>
      </c>
      <c r="H52" s="108"/>
      <c r="I52" s="108"/>
      <c r="J52" s="108"/>
      <c r="K52" s="108"/>
      <c r="L52" s="108"/>
      <c r="M52" s="108"/>
      <c r="N52" s="108"/>
      <c r="O52" s="108"/>
      <c r="P52" s="108"/>
      <c r="Q52" s="109"/>
      <c r="R52" s="90"/>
      <c r="S52" s="90"/>
      <c r="T52" s="108"/>
      <c r="U52" s="110"/>
      <c r="V52" s="63"/>
      <c r="W52" s="13"/>
      <c r="X52" s="13"/>
      <c r="Y52" s="13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</row>
    <row r="53" s="20" customFormat="true" ht="27" hidden="false" customHeight="true" outlineLevel="0" collapsed="false">
      <c r="A53" s="49" t="n">
        <v>32</v>
      </c>
      <c r="B53" s="77" t="s">
        <v>67</v>
      </c>
      <c r="C53" s="78" t="n">
        <v>0.662</v>
      </c>
      <c r="D53" s="107"/>
      <c r="E53" s="80" t="n">
        <v>21500</v>
      </c>
      <c r="F53" s="80" t="n">
        <v>20210</v>
      </c>
      <c r="G53" s="81" t="n">
        <v>1290</v>
      </c>
      <c r="H53" s="108"/>
      <c r="I53" s="108"/>
      <c r="J53" s="108"/>
      <c r="K53" s="108"/>
      <c r="L53" s="108"/>
      <c r="M53" s="108"/>
      <c r="N53" s="108"/>
      <c r="O53" s="108"/>
      <c r="P53" s="108"/>
      <c r="Q53" s="109"/>
      <c r="R53" s="90"/>
      <c r="S53" s="90"/>
      <c r="T53" s="108"/>
      <c r="U53" s="110"/>
      <c r="V53" s="63"/>
      <c r="W53" s="13"/>
      <c r="X53" s="13"/>
      <c r="Y53" s="13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</row>
    <row r="54" s="20" customFormat="true" ht="26.85" hidden="false" customHeight="true" outlineLevel="0" collapsed="false">
      <c r="A54" s="49" t="n">
        <v>33</v>
      </c>
      <c r="B54" s="77" t="s">
        <v>68</v>
      </c>
      <c r="C54" s="78"/>
      <c r="D54" s="107"/>
      <c r="E54" s="80"/>
      <c r="F54" s="80"/>
      <c r="G54" s="81"/>
      <c r="H54" s="108"/>
      <c r="I54" s="80" t="n">
        <f aca="false">6+12</f>
        <v>18</v>
      </c>
      <c r="J54" s="80" t="n">
        <v>11327</v>
      </c>
      <c r="K54" s="80" t="n">
        <v>10647.4</v>
      </c>
      <c r="L54" s="80" t="n">
        <f aca="false">J54-K54</f>
        <v>679.6</v>
      </c>
      <c r="M54" s="108"/>
      <c r="N54" s="108"/>
      <c r="O54" s="108"/>
      <c r="P54" s="108"/>
      <c r="Q54" s="109"/>
      <c r="R54" s="90"/>
      <c r="S54" s="90"/>
      <c r="T54" s="108"/>
      <c r="U54" s="110"/>
      <c r="V54" s="63"/>
      <c r="W54" s="13"/>
      <c r="X54" s="13"/>
      <c r="Y54" s="13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</row>
    <row r="55" s="20" customFormat="true" ht="27" hidden="false" customHeight="true" outlineLevel="0" collapsed="false">
      <c r="A55" s="49" t="n">
        <v>34</v>
      </c>
      <c r="B55" s="91" t="s">
        <v>69</v>
      </c>
      <c r="C55" s="78"/>
      <c r="D55" s="107"/>
      <c r="E55" s="80"/>
      <c r="F55" s="80"/>
      <c r="G55" s="81"/>
      <c r="H55" s="78"/>
      <c r="I55" s="80"/>
      <c r="J55" s="80"/>
      <c r="K55" s="80"/>
      <c r="L55" s="80"/>
      <c r="M55" s="78" t="n">
        <v>0.852</v>
      </c>
      <c r="N55" s="70"/>
      <c r="O55" s="80" t="n">
        <v>66583.5</v>
      </c>
      <c r="P55" s="80" t="n">
        <f aca="false">O55*0.94+0.01</f>
        <v>62588.5</v>
      </c>
      <c r="Q55" s="84" t="n">
        <f aca="false">O55-P55</f>
        <v>3995</v>
      </c>
      <c r="R55" s="90"/>
      <c r="S55" s="90"/>
      <c r="T55" s="108"/>
      <c r="U55" s="110"/>
      <c r="V55" s="63"/>
      <c r="W55" s="13"/>
      <c r="X55" s="13"/>
      <c r="Y55" s="13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</row>
    <row r="56" s="20" customFormat="true" ht="32.25" hidden="false" customHeight="true" outlineLevel="0" collapsed="false">
      <c r="A56" s="49"/>
      <c r="B56" s="97" t="s">
        <v>70</v>
      </c>
      <c r="C56" s="70" t="n">
        <f aca="false">SUM(C58:C60)</f>
        <v>2.301</v>
      </c>
      <c r="D56" s="67"/>
      <c r="E56" s="70" t="n">
        <f aca="false">SUM(E58:E60)</f>
        <v>54627.98</v>
      </c>
      <c r="F56" s="70" t="n">
        <f aca="false">SUM(F58:F60)</f>
        <v>51350.3</v>
      </c>
      <c r="G56" s="70" t="n">
        <f aca="false">SUM(G58:G60)</f>
        <v>3277.68</v>
      </c>
      <c r="H56" s="70" t="n">
        <f aca="false">H61+H62+H63+H64</f>
        <v>8.533</v>
      </c>
      <c r="I56" s="70"/>
      <c r="J56" s="70" t="n">
        <f aca="false">J61+J62+J63+J64</f>
        <v>222689.4</v>
      </c>
      <c r="K56" s="70" t="n">
        <f aca="false">K61+K62+K63+K64</f>
        <v>209328.034</v>
      </c>
      <c r="L56" s="70" t="n">
        <f aca="false">L61+L62+L63+L64</f>
        <v>13361.366</v>
      </c>
      <c r="M56" s="111"/>
      <c r="N56" s="111"/>
      <c r="O56" s="111"/>
      <c r="P56" s="111"/>
      <c r="Q56" s="112"/>
      <c r="R56" s="73" t="e">
        <f aca="false">#REF!</f>
        <v>#REF!</v>
      </c>
      <c r="S56" s="70"/>
      <c r="T56" s="70" t="e">
        <f aca="false">#REF!</f>
        <v>#REF!</v>
      </c>
      <c r="U56" s="70" t="e">
        <f aca="false">#REF!</f>
        <v>#REF!</v>
      </c>
      <c r="V56" s="72" t="e">
        <f aca="false">#REF!</f>
        <v>#REF!</v>
      </c>
      <c r="W56" s="113"/>
      <c r="X56" s="13"/>
      <c r="Y56" s="13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</row>
    <row r="57" s="20" customFormat="true" ht="36.75" hidden="false" customHeight="true" outlineLevel="0" collapsed="false">
      <c r="A57" s="49"/>
      <c r="B57" s="77" t="s">
        <v>71</v>
      </c>
      <c r="C57" s="70"/>
      <c r="D57" s="67"/>
      <c r="E57" s="70"/>
      <c r="F57" s="70"/>
      <c r="G57" s="71"/>
      <c r="H57" s="70"/>
      <c r="I57" s="70"/>
      <c r="J57" s="70"/>
      <c r="K57" s="70"/>
      <c r="L57" s="111"/>
      <c r="M57" s="111"/>
      <c r="N57" s="111"/>
      <c r="O57" s="111"/>
      <c r="P57" s="111"/>
      <c r="Q57" s="112"/>
      <c r="R57" s="73"/>
      <c r="S57" s="73"/>
      <c r="T57" s="70"/>
      <c r="U57" s="71"/>
      <c r="V57" s="72"/>
      <c r="W57" s="113"/>
      <c r="X57" s="13"/>
      <c r="Y57" s="13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</row>
    <row r="58" s="20" customFormat="true" ht="24" hidden="false" customHeight="true" outlineLevel="0" collapsed="false">
      <c r="A58" s="76" t="n">
        <v>35</v>
      </c>
      <c r="B58" s="77" t="s">
        <v>72</v>
      </c>
      <c r="C58" s="78" t="n">
        <v>0.341</v>
      </c>
      <c r="D58" s="107"/>
      <c r="E58" s="80" t="n">
        <v>10374.5</v>
      </c>
      <c r="F58" s="80" t="n">
        <v>9752</v>
      </c>
      <c r="G58" s="80" t="n">
        <f aca="false">E58-F58</f>
        <v>622.5</v>
      </c>
      <c r="H58" s="108"/>
      <c r="I58" s="108"/>
      <c r="J58" s="108"/>
      <c r="K58" s="108"/>
      <c r="L58" s="108"/>
      <c r="M58" s="108"/>
      <c r="N58" s="108"/>
      <c r="O58" s="108"/>
      <c r="P58" s="108"/>
      <c r="Q58" s="109"/>
      <c r="R58" s="90"/>
      <c r="S58" s="90"/>
      <c r="T58" s="108"/>
      <c r="U58" s="110"/>
      <c r="V58" s="63"/>
      <c r="W58" s="13"/>
      <c r="X58" s="13"/>
      <c r="Y58" s="13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</row>
    <row r="59" s="20" customFormat="true" ht="27" hidden="false" customHeight="true" outlineLevel="0" collapsed="false">
      <c r="A59" s="76" t="n">
        <v>36</v>
      </c>
      <c r="B59" s="77" t="s">
        <v>73</v>
      </c>
      <c r="C59" s="78" t="n">
        <f aca="false">(1.25-0.57)+0.43</f>
        <v>1.11</v>
      </c>
      <c r="D59" s="107"/>
      <c r="E59" s="80" t="n">
        <v>27638.82</v>
      </c>
      <c r="F59" s="80" t="n">
        <v>25980.5</v>
      </c>
      <c r="G59" s="80" t="n">
        <f aca="false">E59-F59</f>
        <v>1658.32</v>
      </c>
      <c r="H59" s="108"/>
      <c r="I59" s="108"/>
      <c r="J59" s="108"/>
      <c r="K59" s="108"/>
      <c r="L59" s="108"/>
      <c r="M59" s="108"/>
      <c r="N59" s="108"/>
      <c r="O59" s="108"/>
      <c r="P59" s="108"/>
      <c r="Q59" s="109"/>
      <c r="R59" s="90"/>
      <c r="S59" s="90"/>
      <c r="T59" s="108"/>
      <c r="U59" s="110"/>
      <c r="V59" s="63"/>
      <c r="W59" s="13"/>
      <c r="X59" s="13"/>
      <c r="Y59" s="13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</row>
    <row r="60" s="20" customFormat="true" ht="63" hidden="false" customHeight="true" outlineLevel="0" collapsed="false">
      <c r="A60" s="76" t="n">
        <v>37</v>
      </c>
      <c r="B60" s="77" t="s">
        <v>74</v>
      </c>
      <c r="C60" s="78" t="n">
        <v>0.85</v>
      </c>
      <c r="D60" s="107"/>
      <c r="E60" s="80" t="n">
        <v>16614.66</v>
      </c>
      <c r="F60" s="80" t="n">
        <v>15617.8</v>
      </c>
      <c r="G60" s="80" t="n">
        <f aca="false">E60-F60</f>
        <v>996.860000000001</v>
      </c>
      <c r="H60" s="108"/>
      <c r="I60" s="108"/>
      <c r="J60" s="108"/>
      <c r="K60" s="108"/>
      <c r="L60" s="108"/>
      <c r="M60" s="108"/>
      <c r="N60" s="108"/>
      <c r="O60" s="108"/>
      <c r="P60" s="108"/>
      <c r="Q60" s="109"/>
      <c r="R60" s="90"/>
      <c r="S60" s="90"/>
      <c r="T60" s="108"/>
      <c r="U60" s="110"/>
      <c r="V60" s="63"/>
      <c r="W60" s="13"/>
      <c r="X60" s="13"/>
      <c r="Y60" s="13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</row>
    <row r="61" s="20" customFormat="true" ht="27" hidden="false" customHeight="true" outlineLevel="0" collapsed="false">
      <c r="A61" s="76" t="n">
        <v>38</v>
      </c>
      <c r="B61" s="77" t="s">
        <v>75</v>
      </c>
      <c r="C61" s="78"/>
      <c r="D61" s="107"/>
      <c r="E61" s="80"/>
      <c r="F61" s="80"/>
      <c r="G61" s="80"/>
      <c r="H61" s="78" t="n">
        <v>4.266</v>
      </c>
      <c r="I61" s="70"/>
      <c r="J61" s="80" t="n">
        <v>125836.1</v>
      </c>
      <c r="K61" s="80" t="n">
        <f aca="false">J61-L61</f>
        <v>118285.934</v>
      </c>
      <c r="L61" s="80" t="n">
        <f aca="false">J61*0.06</f>
        <v>7550.166</v>
      </c>
      <c r="M61" s="108"/>
      <c r="N61" s="108"/>
      <c r="O61" s="108"/>
      <c r="P61" s="108"/>
      <c r="Q61" s="109"/>
      <c r="R61" s="90"/>
      <c r="S61" s="90"/>
      <c r="T61" s="108"/>
      <c r="U61" s="110"/>
      <c r="V61" s="63"/>
      <c r="W61" s="13"/>
      <c r="X61" s="13"/>
      <c r="Y61" s="13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</row>
    <row r="62" s="20" customFormat="true" ht="27" hidden="false" customHeight="true" outlineLevel="0" collapsed="false">
      <c r="A62" s="76" t="n">
        <v>39</v>
      </c>
      <c r="B62" s="77" t="s">
        <v>76</v>
      </c>
      <c r="C62" s="78"/>
      <c r="D62" s="107"/>
      <c r="E62" s="80"/>
      <c r="F62" s="80"/>
      <c r="G62" s="80"/>
      <c r="H62" s="78" t="n">
        <f aca="false">3.41-H63</f>
        <v>2.389</v>
      </c>
      <c r="I62" s="70"/>
      <c r="J62" s="80" t="n">
        <f aca="false">72900-J63</f>
        <v>53223</v>
      </c>
      <c r="K62" s="80" t="n">
        <f aca="false">68526-K63</f>
        <v>50029.62</v>
      </c>
      <c r="L62" s="80" t="n">
        <f aca="false">4374-L63</f>
        <v>3193.38</v>
      </c>
      <c r="M62" s="108"/>
      <c r="N62" s="108"/>
      <c r="O62" s="108"/>
      <c r="P62" s="108"/>
      <c r="Q62" s="109"/>
      <c r="R62" s="90"/>
      <c r="S62" s="90"/>
      <c r="T62" s="108"/>
      <c r="U62" s="110"/>
      <c r="V62" s="63"/>
      <c r="W62" s="13"/>
      <c r="X62" s="13"/>
      <c r="Y62" s="13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</row>
    <row r="63" s="20" customFormat="true" ht="27" hidden="false" customHeight="true" outlineLevel="0" collapsed="false">
      <c r="A63" s="76" t="n">
        <v>40</v>
      </c>
      <c r="B63" s="77" t="s">
        <v>77</v>
      </c>
      <c r="C63" s="78"/>
      <c r="D63" s="107"/>
      <c r="E63" s="80"/>
      <c r="F63" s="80"/>
      <c r="G63" s="80"/>
      <c r="H63" s="78" t="n">
        <v>1.021</v>
      </c>
      <c r="I63" s="70"/>
      <c r="J63" s="80" t="n">
        <v>19677</v>
      </c>
      <c r="K63" s="80" t="n">
        <f aca="false">J63-L63</f>
        <v>18496.38</v>
      </c>
      <c r="L63" s="80" t="n">
        <f aca="false">J63*0.06</f>
        <v>1180.62</v>
      </c>
      <c r="M63" s="108"/>
      <c r="N63" s="108"/>
      <c r="O63" s="108"/>
      <c r="P63" s="108"/>
      <c r="Q63" s="109"/>
      <c r="R63" s="90"/>
      <c r="S63" s="90"/>
      <c r="T63" s="108"/>
      <c r="U63" s="110"/>
      <c r="V63" s="63"/>
      <c r="W63" s="13"/>
      <c r="X63" s="13"/>
      <c r="Y63" s="13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</row>
    <row r="64" s="20" customFormat="true" ht="27" hidden="false" customHeight="true" outlineLevel="0" collapsed="false">
      <c r="A64" s="76" t="n">
        <v>41</v>
      </c>
      <c r="B64" s="77" t="s">
        <v>78</v>
      </c>
      <c r="C64" s="78"/>
      <c r="D64" s="107"/>
      <c r="E64" s="80"/>
      <c r="F64" s="80"/>
      <c r="G64" s="80"/>
      <c r="H64" s="78" t="n">
        <v>0.857</v>
      </c>
      <c r="I64" s="70"/>
      <c r="J64" s="80" t="n">
        <v>23953.3</v>
      </c>
      <c r="K64" s="80" t="n">
        <f aca="false">J64-L64</f>
        <v>22516.1</v>
      </c>
      <c r="L64" s="80" t="n">
        <f aca="false">J64*0.06+0.002</f>
        <v>1437.2</v>
      </c>
      <c r="M64" s="108"/>
      <c r="N64" s="108"/>
      <c r="O64" s="108"/>
      <c r="P64" s="108"/>
      <c r="Q64" s="109"/>
      <c r="R64" s="90"/>
      <c r="S64" s="90"/>
      <c r="T64" s="108"/>
      <c r="U64" s="110"/>
      <c r="V64" s="63"/>
      <c r="W64" s="13"/>
      <c r="X64" s="13"/>
      <c r="Y64" s="13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</row>
    <row r="65" s="20" customFormat="true" ht="27" hidden="true" customHeight="true" outlineLevel="0" collapsed="false">
      <c r="A65" s="76"/>
      <c r="B65" s="69" t="s">
        <v>79</v>
      </c>
      <c r="C65" s="98"/>
      <c r="D65" s="98"/>
      <c r="E65" s="98"/>
      <c r="F65" s="98"/>
      <c r="G65" s="98"/>
      <c r="H65" s="99"/>
      <c r="I65" s="99"/>
      <c r="J65" s="99"/>
      <c r="K65" s="99"/>
      <c r="L65" s="99"/>
      <c r="M65" s="99"/>
      <c r="N65" s="99"/>
      <c r="O65" s="99"/>
      <c r="P65" s="99"/>
      <c r="Q65" s="114"/>
      <c r="R65" s="90"/>
      <c r="S65" s="90"/>
      <c r="T65" s="108"/>
      <c r="U65" s="110"/>
      <c r="V65" s="63"/>
      <c r="W65" s="13"/>
      <c r="X65" s="13"/>
      <c r="Y65" s="13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</row>
    <row r="66" s="20" customFormat="true" ht="24.75" hidden="true" customHeight="true" outlineLevel="0" collapsed="false">
      <c r="A66" s="76"/>
      <c r="B66" s="77"/>
      <c r="C66" s="82"/>
      <c r="D66" s="82"/>
      <c r="E66" s="82"/>
      <c r="F66" s="82"/>
      <c r="G66" s="82"/>
      <c r="H66" s="83"/>
      <c r="I66" s="82"/>
      <c r="J66" s="82"/>
      <c r="K66" s="82"/>
      <c r="L66" s="82"/>
      <c r="M66" s="82"/>
      <c r="N66" s="82"/>
      <c r="O66" s="82"/>
      <c r="P66" s="82"/>
      <c r="Q66" s="86"/>
      <c r="R66" s="115"/>
      <c r="S66" s="115"/>
      <c r="T66" s="88"/>
      <c r="U66" s="116"/>
      <c r="V66" s="63"/>
      <c r="W66" s="13"/>
      <c r="X66" s="13"/>
      <c r="Y66" s="13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</row>
    <row r="67" s="20" customFormat="true" ht="33" hidden="false" customHeight="true" outlineLevel="0" collapsed="false">
      <c r="A67" s="76"/>
      <c r="B67" s="69" t="s">
        <v>80</v>
      </c>
      <c r="C67" s="70" t="n">
        <f aca="false">SUM(C69:C78)</f>
        <v>6.581</v>
      </c>
      <c r="D67" s="67"/>
      <c r="E67" s="70" t="n">
        <f aca="false">SUM(E69:E78)</f>
        <v>75358.5</v>
      </c>
      <c r="F67" s="70" t="n">
        <f aca="false">SUM(F69:F78)</f>
        <v>71590.6</v>
      </c>
      <c r="G67" s="70" t="n">
        <f aca="false">SUM(G69:G78)</f>
        <v>3767.9</v>
      </c>
      <c r="H67" s="99" t="n">
        <f aca="false">H80</f>
        <v>1.85</v>
      </c>
      <c r="I67" s="70"/>
      <c r="J67" s="70" t="n">
        <f aca="false">J80</f>
        <v>169668</v>
      </c>
      <c r="K67" s="70" t="n">
        <f aca="false">K80</f>
        <v>161184.6</v>
      </c>
      <c r="L67" s="70" t="n">
        <f aca="false">L80</f>
        <v>8483.39999999999</v>
      </c>
      <c r="M67" s="70" t="n">
        <f aca="false">M80</f>
        <v>1.45</v>
      </c>
      <c r="N67" s="70"/>
      <c r="O67" s="70" t="n">
        <f aca="false">O80</f>
        <v>169668</v>
      </c>
      <c r="P67" s="70" t="n">
        <f aca="false">P80</f>
        <v>161184.6</v>
      </c>
      <c r="Q67" s="72" t="n">
        <f aca="false">Q80</f>
        <v>8483.39999999999</v>
      </c>
      <c r="R67" s="73" t="n">
        <f aca="false">R69</f>
        <v>3.62</v>
      </c>
      <c r="S67" s="70"/>
      <c r="T67" s="70" t="n">
        <f aca="false">T69</f>
        <v>46144</v>
      </c>
      <c r="U67" s="70" t="n">
        <f aca="false">U69</f>
        <v>43837</v>
      </c>
      <c r="V67" s="72" t="n">
        <f aca="false">V69</f>
        <v>2307</v>
      </c>
      <c r="W67" s="13"/>
      <c r="X67" s="13"/>
      <c r="Y67" s="13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</row>
    <row r="68" s="20" customFormat="true" ht="29.25" hidden="false" customHeight="true" outlineLevel="0" collapsed="false">
      <c r="A68" s="76"/>
      <c r="B68" s="77" t="s">
        <v>65</v>
      </c>
      <c r="C68" s="70"/>
      <c r="D68" s="67"/>
      <c r="E68" s="88"/>
      <c r="F68" s="117"/>
      <c r="G68" s="70"/>
      <c r="H68" s="99"/>
      <c r="I68" s="70"/>
      <c r="J68" s="70"/>
      <c r="K68" s="70"/>
      <c r="L68" s="70"/>
      <c r="M68" s="70"/>
      <c r="N68" s="70"/>
      <c r="O68" s="70"/>
      <c r="P68" s="70"/>
      <c r="Q68" s="72"/>
      <c r="R68" s="73"/>
      <c r="S68" s="73"/>
      <c r="T68" s="70"/>
      <c r="U68" s="71"/>
      <c r="V68" s="72"/>
      <c r="W68" s="13"/>
      <c r="X68" s="13"/>
      <c r="Y68" s="13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</row>
    <row r="69" s="20" customFormat="true" ht="27" hidden="false" customHeight="true" outlineLevel="0" collapsed="false">
      <c r="A69" s="76" t="n">
        <v>42</v>
      </c>
      <c r="B69" s="77" t="s">
        <v>81</v>
      </c>
      <c r="C69" s="78" t="n">
        <v>1.83</v>
      </c>
      <c r="D69" s="82"/>
      <c r="E69" s="80" t="n">
        <v>30133</v>
      </c>
      <c r="F69" s="118" t="n">
        <f aca="false">E69*0.95</f>
        <v>28626.35</v>
      </c>
      <c r="G69" s="118" t="n">
        <f aca="false">E69-F69</f>
        <v>1506.65</v>
      </c>
      <c r="H69" s="83"/>
      <c r="I69" s="82"/>
      <c r="J69" s="82"/>
      <c r="K69" s="82"/>
      <c r="L69" s="82"/>
      <c r="M69" s="82"/>
      <c r="N69" s="82"/>
      <c r="O69" s="82"/>
      <c r="P69" s="82"/>
      <c r="Q69" s="86"/>
      <c r="R69" s="85" t="n">
        <v>3.62</v>
      </c>
      <c r="S69" s="85"/>
      <c r="T69" s="80" t="n">
        <v>46144</v>
      </c>
      <c r="U69" s="81" t="n">
        <v>43837</v>
      </c>
      <c r="V69" s="84" t="n">
        <f aca="false">T69-U69</f>
        <v>2307</v>
      </c>
      <c r="W69" s="13"/>
      <c r="X69" s="13"/>
      <c r="Y69" s="13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</row>
    <row r="70" s="20" customFormat="true" ht="27" hidden="false" customHeight="true" outlineLevel="0" collapsed="false">
      <c r="A70" s="76" t="n">
        <v>43</v>
      </c>
      <c r="B70" s="77" t="s">
        <v>82</v>
      </c>
      <c r="C70" s="78" t="n">
        <v>1.79</v>
      </c>
      <c r="D70" s="82"/>
      <c r="E70" s="80" t="n">
        <v>16011</v>
      </c>
      <c r="F70" s="118" t="n">
        <f aca="false">E70*0.95</f>
        <v>15210.45</v>
      </c>
      <c r="G70" s="118" t="n">
        <f aca="false">E70-F70</f>
        <v>800.550000000001</v>
      </c>
      <c r="H70" s="83"/>
      <c r="I70" s="82"/>
      <c r="J70" s="82"/>
      <c r="K70" s="82"/>
      <c r="L70" s="82"/>
      <c r="M70" s="82"/>
      <c r="N70" s="82"/>
      <c r="O70" s="82"/>
      <c r="P70" s="82"/>
      <c r="Q70" s="86"/>
      <c r="R70" s="85"/>
      <c r="S70" s="85"/>
      <c r="T70" s="80"/>
      <c r="U70" s="81"/>
      <c r="V70" s="84"/>
      <c r="W70" s="13"/>
      <c r="X70" s="13"/>
      <c r="Y70" s="13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</row>
    <row r="71" s="20" customFormat="true" ht="27" hidden="false" customHeight="true" outlineLevel="0" collapsed="false">
      <c r="A71" s="76" t="n">
        <v>44</v>
      </c>
      <c r="B71" s="77" t="s">
        <v>83</v>
      </c>
      <c r="C71" s="78" t="n">
        <v>0.6</v>
      </c>
      <c r="D71" s="82"/>
      <c r="E71" s="80" t="n">
        <v>5485.245</v>
      </c>
      <c r="F71" s="118" t="n">
        <f aca="false">E71*0.95</f>
        <v>5210.98275</v>
      </c>
      <c r="G71" s="118" t="n">
        <f aca="false">E71-F71</f>
        <v>274.262250000001</v>
      </c>
      <c r="H71" s="119"/>
      <c r="I71" s="119"/>
      <c r="J71" s="119"/>
      <c r="K71" s="119"/>
      <c r="L71" s="119"/>
      <c r="M71" s="119"/>
      <c r="N71" s="82"/>
      <c r="O71" s="82"/>
      <c r="P71" s="82"/>
      <c r="Q71" s="86"/>
      <c r="R71" s="85"/>
      <c r="S71" s="85"/>
      <c r="T71" s="80"/>
      <c r="U71" s="81"/>
      <c r="V71" s="84"/>
      <c r="W71" s="13"/>
      <c r="X71" s="13"/>
      <c r="Y71" s="13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</row>
    <row r="72" s="20" customFormat="true" ht="27" hidden="false" customHeight="true" outlineLevel="0" collapsed="false">
      <c r="A72" s="76" t="n">
        <v>45</v>
      </c>
      <c r="B72" s="77" t="s">
        <v>84</v>
      </c>
      <c r="C72" s="78" t="n">
        <v>0.2</v>
      </c>
      <c r="D72" s="82"/>
      <c r="E72" s="80" t="n">
        <v>1828.415</v>
      </c>
      <c r="F72" s="118" t="n">
        <f aca="false">E72*0.95</f>
        <v>1736.99425</v>
      </c>
      <c r="G72" s="118" t="n">
        <f aca="false">E72-F72</f>
        <v>91.42075</v>
      </c>
      <c r="H72" s="119"/>
      <c r="I72" s="119"/>
      <c r="J72" s="119"/>
      <c r="K72" s="119"/>
      <c r="L72" s="119"/>
      <c r="M72" s="119"/>
      <c r="N72" s="82"/>
      <c r="O72" s="82"/>
      <c r="P72" s="82"/>
      <c r="Q72" s="86"/>
      <c r="R72" s="85"/>
      <c r="S72" s="85"/>
      <c r="T72" s="80"/>
      <c r="U72" s="81"/>
      <c r="V72" s="84"/>
      <c r="W72" s="13"/>
      <c r="X72" s="13"/>
      <c r="Y72" s="13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</row>
    <row r="73" s="20" customFormat="true" ht="27" hidden="false" customHeight="true" outlineLevel="0" collapsed="false">
      <c r="A73" s="76" t="n">
        <v>46</v>
      </c>
      <c r="B73" s="77" t="s">
        <v>85</v>
      </c>
      <c r="C73" s="78" t="n">
        <v>0.15</v>
      </c>
      <c r="D73" s="82"/>
      <c r="E73" s="80" t="n">
        <v>1371.305</v>
      </c>
      <c r="F73" s="118" t="n">
        <f aca="false">E73*0.95</f>
        <v>1302.73975</v>
      </c>
      <c r="G73" s="118" t="n">
        <f aca="false">E73-F73</f>
        <v>68.5652500000001</v>
      </c>
      <c r="H73" s="119"/>
      <c r="I73" s="119"/>
      <c r="J73" s="119"/>
      <c r="K73" s="119"/>
      <c r="L73" s="119"/>
      <c r="M73" s="119"/>
      <c r="N73" s="82"/>
      <c r="O73" s="82"/>
      <c r="P73" s="82"/>
      <c r="Q73" s="86"/>
      <c r="R73" s="85"/>
      <c r="S73" s="85"/>
      <c r="T73" s="80"/>
      <c r="U73" s="81"/>
      <c r="V73" s="84"/>
      <c r="W73" s="13"/>
      <c r="X73" s="13"/>
      <c r="Y73" s="13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</row>
    <row r="74" s="20" customFormat="true" ht="27" hidden="false" customHeight="true" outlineLevel="0" collapsed="false">
      <c r="A74" s="76" t="n">
        <v>47</v>
      </c>
      <c r="B74" s="77" t="s">
        <v>86</v>
      </c>
      <c r="C74" s="78" t="n">
        <v>0.4</v>
      </c>
      <c r="D74" s="82"/>
      <c r="E74" s="80" t="n">
        <v>3656.825</v>
      </c>
      <c r="F74" s="118" t="n">
        <f aca="false">E74*0.95</f>
        <v>3473.98375</v>
      </c>
      <c r="G74" s="118" t="n">
        <f aca="false">E74-F74</f>
        <v>182.84125</v>
      </c>
      <c r="H74" s="119"/>
      <c r="I74" s="119"/>
      <c r="J74" s="119"/>
      <c r="K74" s="119"/>
      <c r="L74" s="119"/>
      <c r="M74" s="119"/>
      <c r="N74" s="82"/>
      <c r="O74" s="82"/>
      <c r="P74" s="82"/>
      <c r="Q74" s="86"/>
      <c r="R74" s="85"/>
      <c r="S74" s="85"/>
      <c r="T74" s="80"/>
      <c r="U74" s="81"/>
      <c r="V74" s="84"/>
      <c r="W74" s="13"/>
      <c r="X74" s="13"/>
      <c r="Y74" s="13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</row>
    <row r="75" s="20" customFormat="true" ht="27" hidden="false" customHeight="true" outlineLevel="0" collapsed="false">
      <c r="A75" s="76" t="n">
        <v>48</v>
      </c>
      <c r="B75" s="77" t="s">
        <v>87</v>
      </c>
      <c r="C75" s="78" t="n">
        <v>0.2</v>
      </c>
      <c r="D75" s="82"/>
      <c r="E75" s="80" t="n">
        <v>1828.415</v>
      </c>
      <c r="F75" s="118" t="n">
        <f aca="false">E75*0.95</f>
        <v>1736.99425</v>
      </c>
      <c r="G75" s="118" t="n">
        <f aca="false">E75-F75</f>
        <v>91.42075</v>
      </c>
      <c r="H75" s="119"/>
      <c r="I75" s="119"/>
      <c r="J75" s="119"/>
      <c r="K75" s="119"/>
      <c r="L75" s="119"/>
      <c r="M75" s="119"/>
      <c r="N75" s="82"/>
      <c r="O75" s="82"/>
      <c r="P75" s="82"/>
      <c r="Q75" s="86"/>
      <c r="R75" s="85"/>
      <c r="S75" s="85"/>
      <c r="T75" s="80"/>
      <c r="U75" s="81"/>
      <c r="V75" s="84"/>
      <c r="W75" s="13"/>
      <c r="X75" s="13"/>
      <c r="Y75" s="13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</row>
    <row r="76" s="20" customFormat="true" ht="27" hidden="false" customHeight="true" outlineLevel="0" collapsed="false">
      <c r="A76" s="76" t="n">
        <v>49</v>
      </c>
      <c r="B76" s="77" t="s">
        <v>88</v>
      </c>
      <c r="C76" s="78" t="n">
        <v>0.2</v>
      </c>
      <c r="D76" s="82"/>
      <c r="E76" s="80" t="n">
        <v>1828.415</v>
      </c>
      <c r="F76" s="118" t="n">
        <f aca="false">E76*0.95</f>
        <v>1736.99425</v>
      </c>
      <c r="G76" s="118" t="n">
        <f aca="false">E76-F76</f>
        <v>91.42075</v>
      </c>
      <c r="H76" s="119"/>
      <c r="I76" s="119"/>
      <c r="J76" s="119"/>
      <c r="K76" s="119"/>
      <c r="L76" s="119"/>
      <c r="M76" s="119"/>
      <c r="N76" s="82"/>
      <c r="O76" s="82"/>
      <c r="P76" s="82"/>
      <c r="Q76" s="86"/>
      <c r="R76" s="85"/>
      <c r="S76" s="85"/>
      <c r="T76" s="80"/>
      <c r="U76" s="81"/>
      <c r="V76" s="84"/>
      <c r="W76" s="13"/>
      <c r="X76" s="13"/>
      <c r="Y76" s="13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</row>
    <row r="77" s="20" customFormat="true" ht="27" hidden="false" customHeight="true" outlineLevel="0" collapsed="false">
      <c r="A77" s="76" t="n">
        <v>50</v>
      </c>
      <c r="B77" s="77" t="s">
        <v>89</v>
      </c>
      <c r="C77" s="78" t="n">
        <v>0.676</v>
      </c>
      <c r="D77" s="82"/>
      <c r="E77" s="80" t="n">
        <v>7625.285</v>
      </c>
      <c r="F77" s="118" t="n">
        <f aca="false">E77*0.95</f>
        <v>7244.02075</v>
      </c>
      <c r="G77" s="118" t="n">
        <f aca="false">E77-F77</f>
        <v>381.26425</v>
      </c>
      <c r="H77" s="119"/>
      <c r="I77" s="119"/>
      <c r="J77" s="119"/>
      <c r="K77" s="119"/>
      <c r="L77" s="119"/>
      <c r="M77" s="119"/>
      <c r="N77" s="82"/>
      <c r="O77" s="82"/>
      <c r="P77" s="82"/>
      <c r="Q77" s="86"/>
      <c r="R77" s="85"/>
      <c r="S77" s="85"/>
      <c r="T77" s="80"/>
      <c r="U77" s="81"/>
      <c r="V77" s="84"/>
      <c r="W77" s="13"/>
      <c r="X77" s="13"/>
      <c r="Y77" s="13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</row>
    <row r="78" s="20" customFormat="true" ht="27" hidden="false" customHeight="true" outlineLevel="0" collapsed="false">
      <c r="A78" s="76" t="n">
        <v>51</v>
      </c>
      <c r="B78" s="77" t="s">
        <v>90</v>
      </c>
      <c r="C78" s="78" t="n">
        <v>0.535</v>
      </c>
      <c r="D78" s="82"/>
      <c r="E78" s="80" t="n">
        <f aca="false">5590.54+0.055</f>
        <v>5590.595</v>
      </c>
      <c r="F78" s="118" t="n">
        <f aca="false">E78*0.95+0.025</f>
        <v>5311.09025</v>
      </c>
      <c r="G78" s="118" t="n">
        <f aca="false">E78-F78</f>
        <v>279.504750000001</v>
      </c>
      <c r="H78" s="120"/>
      <c r="I78" s="120"/>
      <c r="J78" s="120"/>
      <c r="K78" s="120"/>
      <c r="L78" s="120"/>
      <c r="M78" s="120"/>
      <c r="N78" s="82"/>
      <c r="O78" s="82"/>
      <c r="P78" s="82"/>
      <c r="Q78" s="86"/>
      <c r="R78" s="85"/>
      <c r="S78" s="85"/>
      <c r="T78" s="80"/>
      <c r="U78" s="81"/>
      <c r="V78" s="84"/>
      <c r="W78" s="13"/>
      <c r="X78" s="13"/>
      <c r="Y78" s="13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</row>
    <row r="79" s="20" customFormat="true" ht="44.25" hidden="false" customHeight="true" outlineLevel="0" collapsed="false">
      <c r="A79" s="76"/>
      <c r="B79" s="121" t="s">
        <v>91</v>
      </c>
      <c r="C79" s="78"/>
      <c r="D79" s="82"/>
      <c r="E79" s="80"/>
      <c r="F79" s="118"/>
      <c r="G79" s="118"/>
      <c r="H79" s="120"/>
      <c r="I79" s="120"/>
      <c r="J79" s="120"/>
      <c r="K79" s="120"/>
      <c r="L79" s="120"/>
      <c r="M79" s="120"/>
      <c r="N79" s="82"/>
      <c r="O79" s="82"/>
      <c r="P79" s="82"/>
      <c r="Q79" s="86"/>
      <c r="R79" s="85"/>
      <c r="S79" s="85"/>
      <c r="T79" s="80"/>
      <c r="U79" s="81"/>
      <c r="V79" s="84"/>
      <c r="W79" s="13"/>
      <c r="X79" s="13"/>
      <c r="Y79" s="13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</row>
    <row r="80" s="20" customFormat="true" ht="42" hidden="false" customHeight="true" outlineLevel="0" collapsed="false">
      <c r="A80" s="76" t="n">
        <v>52</v>
      </c>
      <c r="B80" s="77" t="s">
        <v>92</v>
      </c>
      <c r="C80" s="78"/>
      <c r="D80" s="82"/>
      <c r="E80" s="80"/>
      <c r="F80" s="118"/>
      <c r="G80" s="118"/>
      <c r="H80" s="78" t="n">
        <v>1.85</v>
      </c>
      <c r="I80" s="70"/>
      <c r="J80" s="80" t="n">
        <f aca="false">339336/2</f>
        <v>169668</v>
      </c>
      <c r="K80" s="80" t="n">
        <f aca="false">161184.6</f>
        <v>161184.6</v>
      </c>
      <c r="L80" s="80" t="n">
        <f aca="false">J80-K80</f>
        <v>8483.39999999999</v>
      </c>
      <c r="M80" s="78" t="n">
        <f aca="false">1.11+0.34</f>
        <v>1.45</v>
      </c>
      <c r="N80" s="70"/>
      <c r="O80" s="80" t="n">
        <v>169668</v>
      </c>
      <c r="P80" s="80" t="n">
        <f aca="false">161184.6</f>
        <v>161184.6</v>
      </c>
      <c r="Q80" s="84" t="n">
        <f aca="false">O80-P80</f>
        <v>8483.39999999999</v>
      </c>
      <c r="R80" s="85"/>
      <c r="S80" s="85"/>
      <c r="T80" s="80"/>
      <c r="U80" s="81"/>
      <c r="V80" s="84"/>
      <c r="W80" s="13"/>
      <c r="X80" s="13"/>
      <c r="Y80" s="13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</row>
    <row r="81" s="20" customFormat="true" ht="36.75" hidden="false" customHeight="true" outlineLevel="0" collapsed="false">
      <c r="A81" s="76"/>
      <c r="B81" s="69" t="s">
        <v>93</v>
      </c>
      <c r="C81" s="70" t="n">
        <f aca="false">C82</f>
        <v>3.717</v>
      </c>
      <c r="D81" s="67"/>
      <c r="E81" s="70" t="n">
        <f aca="false">E82</f>
        <v>40000</v>
      </c>
      <c r="F81" s="70" t="n">
        <f aca="false">F82</f>
        <v>38000</v>
      </c>
      <c r="G81" s="70" t="n">
        <f aca="false">G82</f>
        <v>2000</v>
      </c>
      <c r="H81" s="70"/>
      <c r="I81" s="70"/>
      <c r="J81" s="70"/>
      <c r="K81" s="70"/>
      <c r="L81" s="70"/>
      <c r="M81" s="70"/>
      <c r="N81" s="70"/>
      <c r="O81" s="70"/>
      <c r="P81" s="70"/>
      <c r="Q81" s="72"/>
      <c r="R81" s="122" t="n">
        <f aca="false">R82</f>
        <v>1.6</v>
      </c>
      <c r="S81" s="123"/>
      <c r="T81" s="70" t="n">
        <f aca="false">T82</f>
        <v>40000</v>
      </c>
      <c r="U81" s="70" t="n">
        <f aca="false">U82</f>
        <v>38000</v>
      </c>
      <c r="V81" s="72" t="n">
        <f aca="false">V82</f>
        <v>2000</v>
      </c>
      <c r="W81" s="124"/>
      <c r="X81" s="13"/>
      <c r="Y81" s="13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</row>
    <row r="82" s="20" customFormat="true" ht="39" hidden="false" customHeight="true" outlineLevel="0" collapsed="false">
      <c r="A82" s="76"/>
      <c r="B82" s="77" t="s">
        <v>71</v>
      </c>
      <c r="C82" s="78" t="n">
        <f aca="false">SUM(C87:C91)</f>
        <v>3.717</v>
      </c>
      <c r="D82" s="82"/>
      <c r="E82" s="80" t="n">
        <f aca="false">SUM(E87:E91)</f>
        <v>40000</v>
      </c>
      <c r="F82" s="80" t="n">
        <f aca="false">SUM(F87:F91)</f>
        <v>38000</v>
      </c>
      <c r="G82" s="80" t="n">
        <f aca="false">SUM(G87:G91)</f>
        <v>2000</v>
      </c>
      <c r="H82" s="83"/>
      <c r="I82" s="82"/>
      <c r="J82" s="82"/>
      <c r="K82" s="82"/>
      <c r="L82" s="82"/>
      <c r="M82" s="82"/>
      <c r="N82" s="82"/>
      <c r="O82" s="82"/>
      <c r="P82" s="82"/>
      <c r="Q82" s="86"/>
      <c r="R82" s="125" t="n">
        <v>1.6</v>
      </c>
      <c r="S82" s="126"/>
      <c r="T82" s="118" t="n">
        <v>40000</v>
      </c>
      <c r="U82" s="127" t="n">
        <f aca="false">T82*0.95</f>
        <v>38000</v>
      </c>
      <c r="V82" s="128" t="n">
        <f aca="false">T82-U82</f>
        <v>2000</v>
      </c>
      <c r="W82" s="129" t="s">
        <v>94</v>
      </c>
      <c r="X82" s="13"/>
      <c r="Y82" s="13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</row>
    <row r="83" s="20" customFormat="true" ht="27.75" hidden="true" customHeight="true" outlineLevel="0" collapsed="false">
      <c r="A83" s="76"/>
      <c r="B83" s="69" t="s">
        <v>95</v>
      </c>
      <c r="C83" s="70"/>
      <c r="D83" s="70"/>
      <c r="E83" s="70"/>
      <c r="F83" s="70"/>
      <c r="G83" s="70"/>
      <c r="H83" s="70"/>
      <c r="I83" s="70"/>
      <c r="J83" s="70"/>
      <c r="K83" s="70"/>
      <c r="L83" s="70"/>
      <c r="M83" s="70"/>
      <c r="N83" s="70"/>
      <c r="O83" s="70"/>
      <c r="P83" s="70"/>
      <c r="Q83" s="72"/>
      <c r="R83" s="73" t="n">
        <f aca="false">R84</f>
        <v>4.45</v>
      </c>
      <c r="S83" s="73"/>
      <c r="T83" s="70" t="n">
        <f aca="false">T84</f>
        <v>186480</v>
      </c>
      <c r="U83" s="71" t="n">
        <f aca="false">U84</f>
        <v>186480</v>
      </c>
      <c r="V83" s="63"/>
      <c r="W83" s="13" t="s">
        <v>45</v>
      </c>
      <c r="X83" s="13"/>
      <c r="Y83" s="13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</row>
    <row r="84" s="20" customFormat="true" ht="27.75" hidden="true" customHeight="true" outlineLevel="0" collapsed="false">
      <c r="A84" s="76"/>
      <c r="B84" s="130"/>
      <c r="C84" s="107"/>
      <c r="D84" s="107"/>
      <c r="E84" s="131"/>
      <c r="F84" s="131"/>
      <c r="G84" s="131"/>
      <c r="H84" s="123"/>
      <c r="I84" s="70"/>
      <c r="J84" s="70"/>
      <c r="K84" s="70"/>
      <c r="L84" s="108"/>
      <c r="M84" s="123"/>
      <c r="N84" s="123"/>
      <c r="O84" s="67"/>
      <c r="P84" s="67"/>
      <c r="Q84" s="132"/>
      <c r="R84" s="133" t="n">
        <v>4.45</v>
      </c>
      <c r="S84" s="122"/>
      <c r="T84" s="70" t="n">
        <v>186480</v>
      </c>
      <c r="U84" s="71" t="n">
        <f aca="false">T84</f>
        <v>186480</v>
      </c>
      <c r="V84" s="63"/>
      <c r="W84" s="13"/>
      <c r="X84" s="13"/>
      <c r="Y84" s="13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</row>
    <row r="85" s="20" customFormat="true" ht="27" hidden="true" customHeight="true" outlineLevel="0" collapsed="false">
      <c r="A85" s="76"/>
      <c r="B85" s="77" t="s">
        <v>96</v>
      </c>
      <c r="C85" s="78"/>
      <c r="D85" s="107"/>
      <c r="E85" s="80"/>
      <c r="F85" s="118"/>
      <c r="G85" s="118"/>
      <c r="H85" s="123"/>
      <c r="I85" s="70"/>
      <c r="J85" s="70"/>
      <c r="K85" s="70"/>
      <c r="L85" s="108"/>
      <c r="M85" s="123"/>
      <c r="N85" s="123"/>
      <c r="O85" s="67"/>
      <c r="P85" s="67"/>
      <c r="Q85" s="132"/>
      <c r="R85" s="133"/>
      <c r="S85" s="122"/>
      <c r="T85" s="70"/>
      <c r="U85" s="71"/>
      <c r="V85" s="63"/>
      <c r="W85" s="13"/>
      <c r="X85" s="13"/>
      <c r="Y85" s="13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</row>
    <row r="86" s="20" customFormat="true" ht="26.25" hidden="true" customHeight="true" outlineLevel="0" collapsed="false">
      <c r="A86" s="76"/>
      <c r="B86" s="77" t="s">
        <v>97</v>
      </c>
      <c r="C86" s="78"/>
      <c r="D86" s="107"/>
      <c r="E86" s="80"/>
      <c r="F86" s="118"/>
      <c r="G86" s="118"/>
      <c r="H86" s="123"/>
      <c r="I86" s="70"/>
      <c r="J86" s="70"/>
      <c r="K86" s="70"/>
      <c r="L86" s="108"/>
      <c r="M86" s="123"/>
      <c r="N86" s="123"/>
      <c r="O86" s="67"/>
      <c r="P86" s="67"/>
      <c r="Q86" s="132"/>
      <c r="R86" s="133"/>
      <c r="S86" s="122"/>
      <c r="T86" s="70"/>
      <c r="U86" s="71"/>
      <c r="V86" s="63"/>
      <c r="W86" s="13"/>
      <c r="X86" s="13"/>
      <c r="Y86" s="13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</row>
    <row r="87" s="20" customFormat="true" ht="27" hidden="false" customHeight="true" outlineLevel="0" collapsed="false">
      <c r="A87" s="76" t="n">
        <v>53</v>
      </c>
      <c r="B87" s="77" t="s">
        <v>98</v>
      </c>
      <c r="C87" s="78" t="n">
        <v>0.24</v>
      </c>
      <c r="D87" s="107"/>
      <c r="E87" s="80" t="n">
        <v>2261.20432</v>
      </c>
      <c r="F87" s="118" t="n">
        <f aca="false">E87*0.95</f>
        <v>2148.144104</v>
      </c>
      <c r="G87" s="118" t="n">
        <f aca="false">E87-F87</f>
        <v>113.060216</v>
      </c>
      <c r="H87" s="123"/>
      <c r="I87" s="70"/>
      <c r="J87" s="70"/>
      <c r="K87" s="70"/>
      <c r="L87" s="108"/>
      <c r="M87" s="123"/>
      <c r="N87" s="123"/>
      <c r="O87" s="67"/>
      <c r="P87" s="67"/>
      <c r="Q87" s="132"/>
      <c r="R87" s="133"/>
      <c r="S87" s="122"/>
      <c r="T87" s="70"/>
      <c r="U87" s="71"/>
      <c r="V87" s="63"/>
      <c r="W87" s="13"/>
      <c r="X87" s="13"/>
      <c r="Y87" s="13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</row>
    <row r="88" s="20" customFormat="true" ht="27" hidden="false" customHeight="true" outlineLevel="0" collapsed="false">
      <c r="A88" s="76" t="n">
        <v>54</v>
      </c>
      <c r="B88" s="77" t="s">
        <v>99</v>
      </c>
      <c r="C88" s="78" t="n">
        <v>0.853</v>
      </c>
      <c r="D88" s="107"/>
      <c r="E88" s="80" t="n">
        <v>12646.56243</v>
      </c>
      <c r="F88" s="118" t="n">
        <f aca="false">E88*0.95</f>
        <v>12014.2343085</v>
      </c>
      <c r="G88" s="118" t="n">
        <f aca="false">E88-F88</f>
        <v>632.328121500001</v>
      </c>
      <c r="H88" s="123"/>
      <c r="I88" s="70"/>
      <c r="J88" s="70"/>
      <c r="K88" s="70"/>
      <c r="L88" s="108"/>
      <c r="M88" s="123"/>
      <c r="N88" s="123"/>
      <c r="O88" s="67"/>
      <c r="P88" s="67"/>
      <c r="Q88" s="132"/>
      <c r="R88" s="133"/>
      <c r="S88" s="122"/>
      <c r="T88" s="70"/>
      <c r="U88" s="71"/>
      <c r="V88" s="63"/>
      <c r="W88" s="13"/>
      <c r="X88" s="13"/>
      <c r="Y88" s="13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</row>
    <row r="89" s="20" customFormat="true" ht="27" hidden="false" customHeight="true" outlineLevel="0" collapsed="false">
      <c r="A89" s="76" t="n">
        <v>55</v>
      </c>
      <c r="B89" s="77" t="s">
        <v>100</v>
      </c>
      <c r="C89" s="78" t="n">
        <v>0.654</v>
      </c>
      <c r="D89" s="107"/>
      <c r="E89" s="80" t="n">
        <v>7082.38338</v>
      </c>
      <c r="F89" s="118" t="n">
        <f aca="false">E89*0.95</f>
        <v>6728.264211</v>
      </c>
      <c r="G89" s="134" t="n">
        <f aca="false">E89-F89</f>
        <v>354.119169000001</v>
      </c>
      <c r="H89" s="123"/>
      <c r="I89" s="70"/>
      <c r="J89" s="70"/>
      <c r="K89" s="70"/>
      <c r="L89" s="108"/>
      <c r="M89" s="123"/>
      <c r="N89" s="123"/>
      <c r="O89" s="67"/>
      <c r="P89" s="67"/>
      <c r="Q89" s="132"/>
      <c r="R89" s="133"/>
      <c r="S89" s="122"/>
      <c r="T89" s="70"/>
      <c r="U89" s="71"/>
      <c r="V89" s="63"/>
      <c r="W89" s="13"/>
      <c r="X89" s="13"/>
      <c r="Y89" s="13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</row>
    <row r="90" s="20" customFormat="true" ht="27" hidden="false" customHeight="true" outlineLevel="0" collapsed="false">
      <c r="A90" s="76" t="n">
        <v>56</v>
      </c>
      <c r="B90" s="77" t="s">
        <v>101</v>
      </c>
      <c r="C90" s="78" t="n">
        <v>0.15</v>
      </c>
      <c r="D90" s="107"/>
      <c r="E90" s="80" t="n">
        <v>1631.4956</v>
      </c>
      <c r="F90" s="118" t="n">
        <f aca="false">E90*0.95</f>
        <v>1549.92082</v>
      </c>
      <c r="G90" s="118" t="n">
        <f aca="false">E90-F90</f>
        <v>81.5747800000002</v>
      </c>
      <c r="H90" s="123"/>
      <c r="I90" s="70"/>
      <c r="J90" s="70"/>
      <c r="K90" s="70"/>
      <c r="L90" s="108"/>
      <c r="M90" s="123"/>
      <c r="N90" s="123"/>
      <c r="O90" s="67"/>
      <c r="P90" s="67"/>
      <c r="Q90" s="132"/>
      <c r="R90" s="133"/>
      <c r="S90" s="122"/>
      <c r="T90" s="70"/>
      <c r="U90" s="71"/>
      <c r="V90" s="63"/>
      <c r="W90" s="13"/>
      <c r="X90" s="13"/>
      <c r="Y90" s="13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</row>
    <row r="91" s="20" customFormat="true" ht="27" hidden="false" customHeight="true" outlineLevel="0" collapsed="false">
      <c r="A91" s="76" t="n">
        <v>57</v>
      </c>
      <c r="B91" s="77" t="s">
        <v>102</v>
      </c>
      <c r="C91" s="78" t="n">
        <v>1.82</v>
      </c>
      <c r="D91" s="107"/>
      <c r="E91" s="80" t="n">
        <v>16378.35427</v>
      </c>
      <c r="F91" s="118" t="n">
        <f aca="false">E91*0.95</f>
        <v>15559.4365565</v>
      </c>
      <c r="G91" s="118" t="n">
        <f aca="false">E91-F91</f>
        <v>818.917713500001</v>
      </c>
      <c r="H91" s="123"/>
      <c r="I91" s="70"/>
      <c r="J91" s="70"/>
      <c r="K91" s="70"/>
      <c r="L91" s="108"/>
      <c r="M91" s="123"/>
      <c r="N91" s="123"/>
      <c r="O91" s="67"/>
      <c r="P91" s="67"/>
      <c r="Q91" s="132"/>
      <c r="R91" s="133"/>
      <c r="S91" s="122"/>
      <c r="T91" s="70"/>
      <c r="U91" s="71"/>
      <c r="V91" s="63"/>
      <c r="W91" s="13"/>
      <c r="X91" s="13"/>
      <c r="Y91" s="13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</row>
    <row r="92" s="25" customFormat="true" ht="37.5" hidden="false" customHeight="true" outlineLevel="0" collapsed="false">
      <c r="A92" s="135"/>
      <c r="B92" s="69" t="s">
        <v>103</v>
      </c>
      <c r="C92" s="70" t="n">
        <f aca="false">SUM(C93:C93)</f>
        <v>2.946</v>
      </c>
      <c r="D92" s="98"/>
      <c r="E92" s="99" t="n">
        <f aca="false">SUM(E93)</f>
        <v>40000</v>
      </c>
      <c r="F92" s="99" t="n">
        <f aca="false">SUM(F93)</f>
        <v>38000</v>
      </c>
      <c r="G92" s="99" t="n">
        <f aca="false">SUM(G93)</f>
        <v>2000</v>
      </c>
      <c r="H92" s="99"/>
      <c r="I92" s="99"/>
      <c r="J92" s="99"/>
      <c r="K92" s="99"/>
      <c r="L92" s="99"/>
      <c r="M92" s="99"/>
      <c r="N92" s="99"/>
      <c r="O92" s="99"/>
      <c r="P92" s="99"/>
      <c r="Q92" s="114"/>
      <c r="R92" s="73" t="e">
        <f aca="false">#REF!</f>
        <v>#REF!</v>
      </c>
      <c r="S92" s="70"/>
      <c r="T92" s="70" t="e">
        <f aca="false">#REF!</f>
        <v>#REF!</v>
      </c>
      <c r="U92" s="70" t="e">
        <f aca="false">#REF!</f>
        <v>#REF!</v>
      </c>
      <c r="V92" s="72" t="e">
        <f aca="false">#REF!</f>
        <v>#REF!</v>
      </c>
      <c r="W92" s="13"/>
      <c r="X92" s="13"/>
      <c r="Y92" s="13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</row>
    <row r="93" s="20" customFormat="true" ht="31.5" hidden="false" customHeight="true" outlineLevel="0" collapsed="false">
      <c r="A93" s="76"/>
      <c r="B93" s="77" t="s">
        <v>65</v>
      </c>
      <c r="C93" s="78" t="n">
        <f aca="false">C94+C95</f>
        <v>2.946</v>
      </c>
      <c r="D93" s="107"/>
      <c r="E93" s="83" t="n">
        <v>40000</v>
      </c>
      <c r="F93" s="83" t="n">
        <v>38000</v>
      </c>
      <c r="G93" s="83" t="n">
        <v>2000</v>
      </c>
      <c r="H93" s="136"/>
      <c r="I93" s="136"/>
      <c r="J93" s="136"/>
      <c r="K93" s="136"/>
      <c r="L93" s="136"/>
      <c r="M93" s="136"/>
      <c r="N93" s="136"/>
      <c r="O93" s="136"/>
      <c r="P93" s="136"/>
      <c r="Q93" s="137"/>
      <c r="R93" s="138"/>
      <c r="S93" s="138"/>
      <c r="T93" s="136"/>
      <c r="U93" s="139"/>
      <c r="V93" s="63"/>
      <c r="W93" s="13"/>
      <c r="X93" s="13"/>
      <c r="Y93" s="13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</row>
    <row r="94" s="20" customFormat="true" ht="45" hidden="false" customHeight="true" outlineLevel="0" collapsed="false">
      <c r="A94" s="76" t="n">
        <v>58</v>
      </c>
      <c r="B94" s="77" t="s">
        <v>104</v>
      </c>
      <c r="C94" s="78" t="n">
        <v>2.148</v>
      </c>
      <c r="D94" s="107"/>
      <c r="E94" s="83" t="n">
        <v>25783.49089</v>
      </c>
      <c r="F94" s="83" t="n">
        <f aca="false">E94*0.95</f>
        <v>24494.3163455</v>
      </c>
      <c r="G94" s="83" t="n">
        <f aca="false">E94-F94</f>
        <v>1289.1745445</v>
      </c>
      <c r="H94" s="136"/>
      <c r="I94" s="136"/>
      <c r="J94" s="136"/>
      <c r="K94" s="136"/>
      <c r="L94" s="136"/>
      <c r="M94" s="136"/>
      <c r="N94" s="136"/>
      <c r="O94" s="136"/>
      <c r="P94" s="136"/>
      <c r="Q94" s="137"/>
      <c r="R94" s="138"/>
      <c r="S94" s="138"/>
      <c r="T94" s="136"/>
      <c r="U94" s="139"/>
      <c r="V94" s="63"/>
      <c r="W94" s="13"/>
      <c r="X94" s="13"/>
      <c r="Y94" s="13"/>
      <c r="Z94" s="4" t="s">
        <v>105</v>
      </c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</row>
    <row r="95" s="20" customFormat="true" ht="30.75" hidden="false" customHeight="true" outlineLevel="0" collapsed="false">
      <c r="A95" s="76" t="n">
        <v>59</v>
      </c>
      <c r="B95" s="77" t="s">
        <v>106</v>
      </c>
      <c r="C95" s="78" t="n">
        <v>0.798</v>
      </c>
      <c r="D95" s="107"/>
      <c r="E95" s="83" t="n">
        <v>14216.50911</v>
      </c>
      <c r="F95" s="83" t="n">
        <f aca="false">E95*0.95</f>
        <v>13505.6836545</v>
      </c>
      <c r="G95" s="83" t="n">
        <f aca="false">E95-F95</f>
        <v>710.8254555</v>
      </c>
      <c r="H95" s="136"/>
      <c r="I95" s="136"/>
      <c r="J95" s="136"/>
      <c r="K95" s="136"/>
      <c r="L95" s="136"/>
      <c r="M95" s="136"/>
      <c r="N95" s="136"/>
      <c r="O95" s="136"/>
      <c r="P95" s="136"/>
      <c r="Q95" s="137"/>
      <c r="R95" s="138"/>
      <c r="S95" s="138"/>
      <c r="T95" s="136"/>
      <c r="U95" s="139"/>
      <c r="V95" s="63"/>
      <c r="W95" s="13"/>
      <c r="X95" s="13"/>
      <c r="Y95" s="13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</row>
    <row r="96" s="25" customFormat="true" ht="33" hidden="false" customHeight="true" outlineLevel="0" collapsed="false">
      <c r="A96" s="135"/>
      <c r="B96" s="69" t="s">
        <v>107</v>
      </c>
      <c r="C96" s="70" t="n">
        <f aca="false">SUM(C98:C100)</f>
        <v>2.572</v>
      </c>
      <c r="D96" s="67"/>
      <c r="E96" s="70" t="n">
        <f aca="false">SUM(E98:E100)</f>
        <v>20382.6</v>
      </c>
      <c r="F96" s="70" t="n">
        <f aca="false">SUM(F98:F100)</f>
        <v>19363.5</v>
      </c>
      <c r="G96" s="70" t="n">
        <f aca="false">SUM(G98:G100)</f>
        <v>1019.1</v>
      </c>
      <c r="H96" s="70" t="n">
        <f aca="false">H103</f>
        <v>1</v>
      </c>
      <c r="I96" s="70"/>
      <c r="J96" s="70" t="n">
        <f aca="false">J103</f>
        <v>9811.7</v>
      </c>
      <c r="K96" s="70" t="n">
        <f aca="false">K103</f>
        <v>9321.1</v>
      </c>
      <c r="L96" s="70" t="n">
        <f aca="false">L103</f>
        <v>490.6</v>
      </c>
      <c r="M96" s="70" t="n">
        <f aca="false">M101</f>
        <v>7.12</v>
      </c>
      <c r="N96" s="70"/>
      <c r="O96" s="70" t="n">
        <f aca="false">O101</f>
        <v>72857.3</v>
      </c>
      <c r="P96" s="70" t="n">
        <f aca="false">P101</f>
        <v>69214.4</v>
      </c>
      <c r="Q96" s="72" t="n">
        <f aca="false">Q101</f>
        <v>3642.90000000001</v>
      </c>
      <c r="R96" s="73" t="e">
        <f aca="false">#REF!+#REF!</f>
        <v>#REF!</v>
      </c>
      <c r="S96" s="73"/>
      <c r="T96" s="70" t="e">
        <f aca="false">#REF!+#REF!</f>
        <v>#REF!</v>
      </c>
      <c r="U96" s="71" t="e">
        <f aca="false">#REF!+#REF!</f>
        <v>#REF!</v>
      </c>
      <c r="V96" s="72" t="e">
        <f aca="false">#REF!+#REF!</f>
        <v>#REF!</v>
      </c>
      <c r="W96" s="13"/>
      <c r="X96" s="13"/>
      <c r="Y96" s="13"/>
      <c r="Z96" s="4" t="s">
        <v>108</v>
      </c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</row>
    <row r="97" s="25" customFormat="true" ht="26.25" hidden="false" customHeight="true" outlineLevel="0" collapsed="false">
      <c r="A97" s="135"/>
      <c r="B97" s="77" t="s">
        <v>65</v>
      </c>
      <c r="C97" s="70"/>
      <c r="D97" s="67"/>
      <c r="E97" s="70"/>
      <c r="F97" s="70"/>
      <c r="G97" s="70"/>
      <c r="H97" s="70"/>
      <c r="I97" s="70"/>
      <c r="J97" s="70"/>
      <c r="K97" s="70"/>
      <c r="L97" s="70"/>
      <c r="M97" s="70"/>
      <c r="N97" s="70"/>
      <c r="O97" s="70"/>
      <c r="P97" s="70"/>
      <c r="Q97" s="72"/>
      <c r="R97" s="73"/>
      <c r="S97" s="73"/>
      <c r="T97" s="70"/>
      <c r="U97" s="71"/>
      <c r="V97" s="72"/>
      <c r="W97" s="13"/>
      <c r="X97" s="13"/>
      <c r="Y97" s="13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</row>
    <row r="98" s="25" customFormat="true" ht="24" hidden="false" customHeight="true" outlineLevel="0" collapsed="false">
      <c r="A98" s="76" t="n">
        <v>60</v>
      </c>
      <c r="B98" s="77" t="s">
        <v>109</v>
      </c>
      <c r="C98" s="78" t="n">
        <v>1.76</v>
      </c>
      <c r="D98" s="67"/>
      <c r="E98" s="83" t="n">
        <v>7523.37215</v>
      </c>
      <c r="F98" s="83" t="n">
        <f aca="false">E98*0.95</f>
        <v>7147.2035425</v>
      </c>
      <c r="G98" s="83" t="n">
        <f aca="false">E98-F98</f>
        <v>376.168607500001</v>
      </c>
      <c r="H98" s="70"/>
      <c r="I98" s="70"/>
      <c r="J98" s="70"/>
      <c r="K98" s="70"/>
      <c r="L98" s="70"/>
      <c r="M98" s="70"/>
      <c r="N98" s="70"/>
      <c r="O98" s="70"/>
      <c r="P98" s="70"/>
      <c r="Q98" s="72"/>
      <c r="R98" s="73"/>
      <c r="S98" s="73"/>
      <c r="T98" s="70"/>
      <c r="U98" s="71"/>
      <c r="V98" s="72"/>
      <c r="W98" s="13"/>
      <c r="X98" s="13"/>
      <c r="Y98" s="13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</row>
    <row r="99" s="20" customFormat="true" ht="26.25" hidden="false" customHeight="true" outlineLevel="0" collapsed="false">
      <c r="A99" s="76" t="n">
        <v>61</v>
      </c>
      <c r="B99" s="77" t="s">
        <v>110</v>
      </c>
      <c r="C99" s="78" t="n">
        <v>0.597</v>
      </c>
      <c r="D99" s="107"/>
      <c r="E99" s="83" t="n">
        <v>9970.74</v>
      </c>
      <c r="F99" s="83" t="n">
        <f aca="false">E99*0.95</f>
        <v>9472.203</v>
      </c>
      <c r="G99" s="83" t="n">
        <f aca="false">E99-F99</f>
        <v>498.537</v>
      </c>
      <c r="H99" s="108"/>
      <c r="I99" s="108"/>
      <c r="J99" s="108"/>
      <c r="K99" s="108"/>
      <c r="L99" s="108"/>
      <c r="M99" s="108"/>
      <c r="N99" s="108"/>
      <c r="O99" s="108"/>
      <c r="P99" s="108"/>
      <c r="Q99" s="109"/>
      <c r="R99" s="90"/>
      <c r="S99" s="90"/>
      <c r="T99" s="140"/>
      <c r="U99" s="141"/>
      <c r="V99" s="142"/>
      <c r="W99" s="13"/>
      <c r="X99" s="13"/>
      <c r="Y99" s="13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</row>
    <row r="100" s="20" customFormat="true" ht="26.25" hidden="false" customHeight="true" outlineLevel="0" collapsed="false">
      <c r="A100" s="76" t="n">
        <v>62</v>
      </c>
      <c r="B100" s="77" t="s">
        <v>111</v>
      </c>
      <c r="C100" s="78" t="n">
        <v>0.215</v>
      </c>
      <c r="D100" s="107"/>
      <c r="E100" s="83" t="n">
        <v>2888.48785</v>
      </c>
      <c r="F100" s="83" t="n">
        <v>2744.0934575</v>
      </c>
      <c r="G100" s="83" t="n">
        <f aca="false">E100-F100</f>
        <v>144.3943925</v>
      </c>
      <c r="H100" s="108"/>
      <c r="I100" s="108"/>
      <c r="J100" s="108"/>
      <c r="K100" s="108"/>
      <c r="L100" s="108"/>
      <c r="M100" s="143"/>
      <c r="N100" s="143"/>
      <c r="O100" s="143"/>
      <c r="P100" s="108"/>
      <c r="Q100" s="109"/>
      <c r="R100" s="90"/>
      <c r="S100" s="90"/>
      <c r="T100" s="140"/>
      <c r="U100" s="141"/>
      <c r="V100" s="142"/>
      <c r="W100" s="13"/>
      <c r="X100" s="13"/>
      <c r="Y100" s="13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</row>
    <row r="101" s="20" customFormat="true" ht="26.25" hidden="false" customHeight="true" outlineLevel="0" collapsed="false">
      <c r="A101" s="76" t="n">
        <v>63</v>
      </c>
      <c r="B101" s="77" t="s">
        <v>112</v>
      </c>
      <c r="C101" s="78"/>
      <c r="D101" s="107"/>
      <c r="E101" s="83"/>
      <c r="F101" s="83"/>
      <c r="G101" s="83"/>
      <c r="H101" s="108"/>
      <c r="I101" s="108"/>
      <c r="J101" s="108"/>
      <c r="K101" s="108"/>
      <c r="L101" s="108"/>
      <c r="M101" s="78" t="n">
        <v>7.12</v>
      </c>
      <c r="N101" s="107"/>
      <c r="O101" s="83" t="n">
        <v>72857.3</v>
      </c>
      <c r="P101" s="83" t="n">
        <f aca="false">O101*0.95-0.035</f>
        <v>69214.4</v>
      </c>
      <c r="Q101" s="144" t="n">
        <f aca="false">O101-P101</f>
        <v>3642.90000000001</v>
      </c>
      <c r="R101" s="90"/>
      <c r="S101" s="90"/>
      <c r="T101" s="140"/>
      <c r="U101" s="141"/>
      <c r="V101" s="142"/>
      <c r="W101" s="13"/>
      <c r="X101" s="13"/>
      <c r="Y101" s="13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</row>
    <row r="102" s="20" customFormat="true" ht="44.25" hidden="false" customHeight="true" outlineLevel="0" collapsed="false">
      <c r="A102" s="76"/>
      <c r="B102" s="121" t="s">
        <v>91</v>
      </c>
      <c r="C102" s="78"/>
      <c r="D102" s="107"/>
      <c r="E102" s="83"/>
      <c r="F102" s="83"/>
      <c r="G102" s="83"/>
      <c r="H102" s="108"/>
      <c r="I102" s="108"/>
      <c r="J102" s="108"/>
      <c r="K102" s="108"/>
      <c r="L102" s="108"/>
      <c r="M102" s="108"/>
      <c r="N102" s="108"/>
      <c r="O102" s="108"/>
      <c r="P102" s="108"/>
      <c r="Q102" s="109"/>
      <c r="R102" s="90"/>
      <c r="S102" s="90"/>
      <c r="T102" s="140"/>
      <c r="U102" s="141"/>
      <c r="V102" s="142"/>
      <c r="W102" s="13"/>
      <c r="X102" s="13"/>
      <c r="Y102" s="13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</row>
    <row r="103" s="20" customFormat="true" ht="47.25" hidden="false" customHeight="true" outlineLevel="0" collapsed="false">
      <c r="A103" s="76" t="n">
        <v>64</v>
      </c>
      <c r="B103" s="77" t="s">
        <v>113</v>
      </c>
      <c r="C103" s="78"/>
      <c r="D103" s="107"/>
      <c r="E103" s="83"/>
      <c r="F103" s="83"/>
      <c r="G103" s="83"/>
      <c r="H103" s="78" t="n">
        <v>1</v>
      </c>
      <c r="I103" s="70"/>
      <c r="J103" s="80" t="n">
        <v>9811.7</v>
      </c>
      <c r="K103" s="80" t="n">
        <v>9321.1</v>
      </c>
      <c r="L103" s="80" t="n">
        <f aca="false">J103-K103</f>
        <v>490.6</v>
      </c>
      <c r="M103" s="108"/>
      <c r="N103" s="108"/>
      <c r="O103" s="108"/>
      <c r="P103" s="108"/>
      <c r="Q103" s="109"/>
      <c r="R103" s="90"/>
      <c r="S103" s="90"/>
      <c r="T103" s="140"/>
      <c r="U103" s="141"/>
      <c r="V103" s="142"/>
      <c r="W103" s="13"/>
      <c r="X103" s="13"/>
      <c r="Y103" s="13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</row>
    <row r="104" s="25" customFormat="true" ht="27" hidden="false" customHeight="true" outlineLevel="0" collapsed="false">
      <c r="A104" s="135"/>
      <c r="B104" s="69" t="s">
        <v>114</v>
      </c>
      <c r="C104" s="70" t="n">
        <f aca="false">C105</f>
        <v>4.029</v>
      </c>
      <c r="D104" s="67"/>
      <c r="E104" s="70" t="n">
        <f aca="false">E105</f>
        <v>40000</v>
      </c>
      <c r="F104" s="70" t="n">
        <f aca="false">F105</f>
        <v>38000</v>
      </c>
      <c r="G104" s="70" t="n">
        <f aca="false">G105</f>
        <v>2000</v>
      </c>
      <c r="H104" s="145"/>
      <c r="I104" s="146"/>
      <c r="J104" s="146"/>
      <c r="K104" s="146"/>
      <c r="L104" s="146"/>
      <c r="M104" s="146" t="n">
        <f aca="false">SUM(M110:M113)</f>
        <v>6.716</v>
      </c>
      <c r="N104" s="146"/>
      <c r="O104" s="146" t="n">
        <f aca="false">SUM(O110:O113)</f>
        <v>91189.8</v>
      </c>
      <c r="P104" s="146" t="n">
        <f aca="false">SUM(P110:P113)</f>
        <v>86630.3</v>
      </c>
      <c r="Q104" s="146" t="n">
        <f aca="false">SUM(Q110:Q113)</f>
        <v>4559.50000000001</v>
      </c>
      <c r="R104" s="73" t="e">
        <f aca="false">#REF!</f>
        <v>#REF!</v>
      </c>
      <c r="S104" s="70"/>
      <c r="T104" s="70" t="e">
        <f aca="false">#REF!</f>
        <v>#REF!</v>
      </c>
      <c r="U104" s="70" t="e">
        <f aca="false">#REF!</f>
        <v>#REF!</v>
      </c>
      <c r="V104" s="72" t="e">
        <f aca="false">#REF!</f>
        <v>#REF!</v>
      </c>
      <c r="W104" s="147"/>
      <c r="X104" s="13" t="s">
        <v>45</v>
      </c>
      <c r="Y104" s="13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</row>
    <row r="105" s="4" customFormat="true" ht="24" hidden="false" customHeight="true" outlineLevel="0" collapsed="false">
      <c r="A105" s="76"/>
      <c r="B105" s="91" t="s">
        <v>65</v>
      </c>
      <c r="C105" s="78" t="n">
        <f aca="false">SUM(C106:C109)</f>
        <v>4.029</v>
      </c>
      <c r="D105" s="107"/>
      <c r="E105" s="83" t="n">
        <v>40000</v>
      </c>
      <c r="F105" s="83" t="n">
        <v>38000</v>
      </c>
      <c r="G105" s="83" t="n">
        <v>2000</v>
      </c>
      <c r="H105" s="108"/>
      <c r="I105" s="108"/>
      <c r="J105" s="108"/>
      <c r="K105" s="108"/>
      <c r="L105" s="108"/>
      <c r="M105" s="108"/>
      <c r="N105" s="108"/>
      <c r="O105" s="108"/>
      <c r="P105" s="108"/>
      <c r="Q105" s="109"/>
      <c r="R105" s="148"/>
      <c r="S105" s="108"/>
      <c r="T105" s="108"/>
      <c r="U105" s="110"/>
      <c r="V105" s="63"/>
      <c r="W105" s="13"/>
      <c r="X105" s="13"/>
      <c r="Y105" s="13"/>
    </row>
    <row r="106" s="4" customFormat="true" ht="21.75" hidden="false" customHeight="true" outlineLevel="0" collapsed="false">
      <c r="A106" s="76" t="n">
        <v>65</v>
      </c>
      <c r="B106" s="91" t="s">
        <v>115</v>
      </c>
      <c r="C106" s="78" t="n">
        <v>0.53</v>
      </c>
      <c r="D106" s="107"/>
      <c r="E106" s="149" t="n">
        <v>4722.06</v>
      </c>
      <c r="F106" s="83" t="n">
        <f aca="false">E106*0.95</f>
        <v>4485.957</v>
      </c>
      <c r="G106" s="83" t="n">
        <f aca="false">E106-F106</f>
        <v>236.103</v>
      </c>
      <c r="H106" s="108"/>
      <c r="I106" s="108"/>
      <c r="J106" s="108"/>
      <c r="K106" s="108"/>
      <c r="L106" s="108"/>
      <c r="M106" s="108"/>
      <c r="N106" s="108"/>
      <c r="O106" s="108"/>
      <c r="P106" s="108"/>
      <c r="Q106" s="109"/>
      <c r="R106" s="148"/>
      <c r="S106" s="90"/>
      <c r="T106" s="108"/>
      <c r="U106" s="110"/>
      <c r="V106" s="63"/>
      <c r="W106" s="13"/>
      <c r="X106" s="13"/>
      <c r="Y106" s="13"/>
    </row>
    <row r="107" s="4" customFormat="true" ht="21.75" hidden="false" customHeight="true" outlineLevel="0" collapsed="false">
      <c r="A107" s="76" t="n">
        <v>66</v>
      </c>
      <c r="B107" s="91" t="s">
        <v>116</v>
      </c>
      <c r="C107" s="78" t="n">
        <v>1.085</v>
      </c>
      <c r="D107" s="107"/>
      <c r="E107" s="149" t="n">
        <v>12138.918</v>
      </c>
      <c r="F107" s="83" t="n">
        <f aca="false">E107*0.95</f>
        <v>11531.9721</v>
      </c>
      <c r="G107" s="83" t="n">
        <f aca="false">E107-F107</f>
        <v>606.945900000001</v>
      </c>
      <c r="H107" s="108"/>
      <c r="I107" s="108"/>
      <c r="J107" s="108"/>
      <c r="K107" s="108"/>
      <c r="L107" s="108"/>
      <c r="M107" s="108"/>
      <c r="N107" s="108"/>
      <c r="O107" s="108"/>
      <c r="P107" s="108"/>
      <c r="Q107" s="109"/>
      <c r="R107" s="148"/>
      <c r="S107" s="90"/>
      <c r="T107" s="108"/>
      <c r="U107" s="110"/>
      <c r="V107" s="63"/>
      <c r="W107" s="13"/>
      <c r="X107" s="13"/>
      <c r="Y107" s="13"/>
    </row>
    <row r="108" s="4" customFormat="true" ht="21.75" hidden="false" customHeight="true" outlineLevel="0" collapsed="false">
      <c r="A108" s="76" t="n">
        <v>67</v>
      </c>
      <c r="B108" s="91" t="s">
        <v>117</v>
      </c>
      <c r="C108" s="78" t="n">
        <v>0.954</v>
      </c>
      <c r="D108" s="107"/>
      <c r="E108" s="149" t="n">
        <v>8785.096</v>
      </c>
      <c r="F108" s="83" t="n">
        <f aca="false">E108*0.95</f>
        <v>8345.8412</v>
      </c>
      <c r="G108" s="83" t="n">
        <f aca="false">E108-F108</f>
        <v>439.254800000001</v>
      </c>
      <c r="H108" s="108"/>
      <c r="I108" s="108"/>
      <c r="J108" s="108"/>
      <c r="K108" s="108"/>
      <c r="L108" s="108"/>
      <c r="M108" s="108"/>
      <c r="N108" s="108"/>
      <c r="O108" s="108"/>
      <c r="P108" s="108"/>
      <c r="Q108" s="109"/>
      <c r="R108" s="148"/>
      <c r="S108" s="90"/>
      <c r="T108" s="108"/>
      <c r="U108" s="110"/>
      <c r="V108" s="63"/>
      <c r="W108" s="13"/>
      <c r="X108" s="13"/>
      <c r="Y108" s="13"/>
    </row>
    <row r="109" s="4" customFormat="true" ht="24" hidden="false" customHeight="true" outlineLevel="0" collapsed="false">
      <c r="A109" s="76" t="n">
        <v>68</v>
      </c>
      <c r="B109" s="91" t="s">
        <v>118</v>
      </c>
      <c r="C109" s="78" t="n">
        <v>1.46</v>
      </c>
      <c r="D109" s="107"/>
      <c r="E109" s="149" t="n">
        <v>14353.926</v>
      </c>
      <c r="F109" s="83" t="n">
        <f aca="false">E109*0.95</f>
        <v>13636.2297</v>
      </c>
      <c r="G109" s="83" t="n">
        <f aca="false">E109-F109</f>
        <v>717.696300000001</v>
      </c>
      <c r="H109" s="108"/>
      <c r="I109" s="108"/>
      <c r="J109" s="108"/>
      <c r="K109" s="108"/>
      <c r="L109" s="108"/>
      <c r="M109" s="108"/>
      <c r="N109" s="108"/>
      <c r="O109" s="108"/>
      <c r="P109" s="108"/>
      <c r="Q109" s="109"/>
      <c r="R109" s="148"/>
      <c r="S109" s="90"/>
      <c r="T109" s="108"/>
      <c r="U109" s="110"/>
      <c r="V109" s="63"/>
      <c r="W109" s="13"/>
      <c r="X109" s="13"/>
      <c r="Y109" s="13"/>
    </row>
    <row r="110" s="4" customFormat="true" ht="42.75" hidden="false" customHeight="true" outlineLevel="0" collapsed="false">
      <c r="A110" s="76" t="n">
        <v>69</v>
      </c>
      <c r="B110" s="91" t="s">
        <v>119</v>
      </c>
      <c r="C110" s="78"/>
      <c r="D110" s="107"/>
      <c r="E110" s="149"/>
      <c r="F110" s="83"/>
      <c r="G110" s="83"/>
      <c r="H110" s="108"/>
      <c r="I110" s="108"/>
      <c r="J110" s="108"/>
      <c r="K110" s="108"/>
      <c r="L110" s="108"/>
      <c r="M110" s="78" t="n">
        <v>1.017</v>
      </c>
      <c r="N110" s="107"/>
      <c r="O110" s="83" t="n">
        <v>10878.19</v>
      </c>
      <c r="P110" s="83" t="n">
        <f aca="false">O110*0.95</f>
        <v>10334.2805</v>
      </c>
      <c r="Q110" s="144" t="n">
        <f aca="false">O110-P110</f>
        <v>543.9095</v>
      </c>
      <c r="R110" s="148"/>
      <c r="S110" s="90"/>
      <c r="T110" s="108"/>
      <c r="U110" s="110"/>
      <c r="V110" s="63"/>
      <c r="W110" s="13"/>
      <c r="X110" s="13"/>
      <c r="Y110" s="13"/>
    </row>
    <row r="111" s="4" customFormat="true" ht="24" hidden="false" customHeight="true" outlineLevel="0" collapsed="false">
      <c r="A111" s="76" t="n">
        <v>70</v>
      </c>
      <c r="B111" s="91" t="s">
        <v>120</v>
      </c>
      <c r="C111" s="78"/>
      <c r="D111" s="107"/>
      <c r="E111" s="149"/>
      <c r="F111" s="83"/>
      <c r="G111" s="83"/>
      <c r="H111" s="108"/>
      <c r="I111" s="108"/>
      <c r="J111" s="108"/>
      <c r="K111" s="108"/>
      <c r="L111" s="108"/>
      <c r="M111" s="78" t="n">
        <v>1.69</v>
      </c>
      <c r="N111" s="107"/>
      <c r="O111" s="83" t="n">
        <v>22472.47</v>
      </c>
      <c r="P111" s="83" t="n">
        <f aca="false">O111*0.95</f>
        <v>21348.8465</v>
      </c>
      <c r="Q111" s="144" t="n">
        <f aca="false">O111-P111</f>
        <v>1123.6235</v>
      </c>
      <c r="R111" s="148"/>
      <c r="S111" s="90"/>
      <c r="T111" s="108"/>
      <c r="U111" s="110"/>
      <c r="V111" s="63"/>
      <c r="W111" s="13"/>
      <c r="X111" s="13"/>
      <c r="Y111" s="13"/>
    </row>
    <row r="112" s="4" customFormat="true" ht="24" hidden="false" customHeight="true" outlineLevel="0" collapsed="false">
      <c r="A112" s="76" t="n">
        <v>71</v>
      </c>
      <c r="B112" s="91" t="s">
        <v>121</v>
      </c>
      <c r="C112" s="78"/>
      <c r="D112" s="107"/>
      <c r="E112" s="149"/>
      <c r="F112" s="83"/>
      <c r="G112" s="83"/>
      <c r="H112" s="108"/>
      <c r="I112" s="108"/>
      <c r="J112" s="108"/>
      <c r="K112" s="108"/>
      <c r="L112" s="108"/>
      <c r="M112" s="78" t="n">
        <v>2.439</v>
      </c>
      <c r="N112" s="107"/>
      <c r="O112" s="83" t="n">
        <v>26581.36</v>
      </c>
      <c r="P112" s="83" t="n">
        <f aca="false">O112*0.95</f>
        <v>25252.292</v>
      </c>
      <c r="Q112" s="144" t="n">
        <f aca="false">O112-P112</f>
        <v>1329.068</v>
      </c>
      <c r="R112" s="148"/>
      <c r="S112" s="90"/>
      <c r="T112" s="108"/>
      <c r="U112" s="110"/>
      <c r="V112" s="63"/>
      <c r="W112" s="13"/>
      <c r="X112" s="13"/>
      <c r="Y112" s="13"/>
    </row>
    <row r="113" s="4" customFormat="true" ht="24" hidden="false" customHeight="true" outlineLevel="0" collapsed="false">
      <c r="A113" s="76" t="n">
        <v>72</v>
      </c>
      <c r="B113" s="91" t="s">
        <v>122</v>
      </c>
      <c r="C113" s="78"/>
      <c r="D113" s="107"/>
      <c r="E113" s="149"/>
      <c r="F113" s="83"/>
      <c r="G113" s="83"/>
      <c r="H113" s="108"/>
      <c r="I113" s="108"/>
      <c r="J113" s="108"/>
      <c r="K113" s="108"/>
      <c r="L113" s="108"/>
      <c r="M113" s="78" t="n">
        <v>1.57</v>
      </c>
      <c r="N113" s="108"/>
      <c r="O113" s="83" t="n">
        <v>31257.78</v>
      </c>
      <c r="P113" s="83" t="n">
        <f aca="false">O113*0.95-0.01</f>
        <v>29694.881</v>
      </c>
      <c r="Q113" s="144" t="n">
        <f aca="false">O113-P113</f>
        <v>1562.899</v>
      </c>
      <c r="R113" s="148"/>
      <c r="S113" s="90"/>
      <c r="T113" s="108"/>
      <c r="U113" s="110"/>
      <c r="V113" s="63"/>
      <c r="W113" s="13"/>
      <c r="X113" s="13"/>
      <c r="Y113" s="13"/>
    </row>
    <row r="114" s="4" customFormat="true" ht="26.25" hidden="false" customHeight="true" outlineLevel="0" collapsed="false">
      <c r="A114" s="76"/>
      <c r="B114" s="69" t="s">
        <v>123</v>
      </c>
      <c r="C114" s="70" t="n">
        <f aca="false">SUM(C116:C137)</f>
        <v>0.942</v>
      </c>
      <c r="D114" s="67"/>
      <c r="E114" s="70" t="n">
        <f aca="false">SUM(E116:E137)</f>
        <v>43385</v>
      </c>
      <c r="F114" s="70" t="n">
        <f aca="false">SUM(F116:F137)</f>
        <v>41215.7</v>
      </c>
      <c r="G114" s="70" t="n">
        <f aca="false">SUM(G116:G137)</f>
        <v>2169.3</v>
      </c>
      <c r="H114" s="70" t="n">
        <f aca="false">SUM(H117:H138)</f>
        <v>19.584</v>
      </c>
      <c r="I114" s="146"/>
      <c r="J114" s="70" t="n">
        <f aca="false">SUM(J117:J138)</f>
        <v>196842.1</v>
      </c>
      <c r="K114" s="70" t="n">
        <f aca="false">SUM(K117:K138)</f>
        <v>187000</v>
      </c>
      <c r="L114" s="70" t="n">
        <f aca="false">SUM(L117:L138)</f>
        <v>9842.10000000001</v>
      </c>
      <c r="M114" s="146"/>
      <c r="N114" s="146"/>
      <c r="O114" s="146"/>
      <c r="P114" s="146"/>
      <c r="Q114" s="150"/>
      <c r="R114" s="73" t="e">
        <f aca="false">#REF!</f>
        <v>#REF!</v>
      </c>
      <c r="S114" s="73"/>
      <c r="T114" s="70" t="e">
        <f aca="false">#REF!</f>
        <v>#REF!</v>
      </c>
      <c r="U114" s="71" t="e">
        <f aca="false">#REF!</f>
        <v>#REF!</v>
      </c>
      <c r="V114" s="72" t="e">
        <f aca="false">#REF!</f>
        <v>#REF!</v>
      </c>
      <c r="W114" s="13"/>
      <c r="X114" s="13"/>
      <c r="Y114" s="13"/>
    </row>
    <row r="115" s="4" customFormat="true" ht="29.25" hidden="false" customHeight="true" outlineLevel="0" collapsed="false">
      <c r="A115" s="76"/>
      <c r="B115" s="91" t="s">
        <v>65</v>
      </c>
      <c r="C115" s="78" t="n">
        <f aca="false">C114</f>
        <v>0.942</v>
      </c>
      <c r="D115" s="107"/>
      <c r="E115" s="83" t="n">
        <f aca="false">E114</f>
        <v>43385</v>
      </c>
      <c r="F115" s="83" t="n">
        <f aca="false">F114</f>
        <v>41215.7</v>
      </c>
      <c r="G115" s="83" t="n">
        <f aca="false">G114</f>
        <v>2169.3</v>
      </c>
      <c r="H115" s="78" t="n">
        <f aca="false">H114</f>
        <v>19.584</v>
      </c>
      <c r="I115" s="107"/>
      <c r="J115" s="83" t="n">
        <f aca="false">J114</f>
        <v>196842.1</v>
      </c>
      <c r="K115" s="83" t="n">
        <f aca="false">K114</f>
        <v>187000</v>
      </c>
      <c r="L115" s="83" t="n">
        <f aca="false">L114</f>
        <v>9842.10000000001</v>
      </c>
      <c r="M115" s="108"/>
      <c r="N115" s="108"/>
      <c r="O115" s="108"/>
      <c r="P115" s="108"/>
      <c r="Q115" s="109"/>
      <c r="R115" s="148"/>
      <c r="S115" s="108"/>
      <c r="T115" s="108"/>
      <c r="U115" s="110"/>
      <c r="V115" s="63"/>
      <c r="W115" s="13"/>
      <c r="X115" s="13"/>
      <c r="Y115" s="13"/>
    </row>
    <row r="116" s="4" customFormat="true" ht="24.75" hidden="false" customHeight="true" outlineLevel="0" collapsed="false">
      <c r="A116" s="76" t="n">
        <v>73</v>
      </c>
      <c r="B116" s="77" t="s">
        <v>124</v>
      </c>
      <c r="C116" s="78" t="n">
        <v>0.942</v>
      </c>
      <c r="D116" s="79"/>
      <c r="E116" s="80" t="n">
        <v>11806</v>
      </c>
      <c r="F116" s="80" t="n">
        <v>11215.7</v>
      </c>
      <c r="G116" s="80" t="n">
        <f aca="false">E116-F116</f>
        <v>590.299999999999</v>
      </c>
      <c r="H116" s="151"/>
      <c r="I116" s="152"/>
      <c r="J116" s="152"/>
      <c r="K116" s="152"/>
      <c r="L116" s="152"/>
      <c r="M116" s="152"/>
      <c r="N116" s="152"/>
      <c r="O116" s="152"/>
      <c r="P116" s="152"/>
      <c r="Q116" s="153"/>
      <c r="R116" s="115"/>
      <c r="S116" s="115"/>
      <c r="T116" s="88"/>
      <c r="U116" s="116"/>
      <c r="V116" s="63"/>
      <c r="W116" s="13"/>
      <c r="X116" s="13"/>
      <c r="Y116" s="13"/>
    </row>
    <row r="117" s="4" customFormat="true" ht="24.75" hidden="false" customHeight="true" outlineLevel="0" collapsed="false">
      <c r="A117" s="76" t="n">
        <v>74</v>
      </c>
      <c r="B117" s="77" t="s">
        <v>125</v>
      </c>
      <c r="C117" s="78"/>
      <c r="D117" s="79"/>
      <c r="E117" s="80"/>
      <c r="F117" s="80"/>
      <c r="G117" s="80"/>
      <c r="H117" s="154" t="n">
        <v>0.63</v>
      </c>
      <c r="I117" s="152"/>
      <c r="J117" s="152" t="n">
        <v>13029.3</v>
      </c>
      <c r="K117" s="152" t="n">
        <f aca="false">J117*0.95</f>
        <v>12377.835</v>
      </c>
      <c r="L117" s="152" t="n">
        <f aca="false">J117-K117</f>
        <v>651.465</v>
      </c>
      <c r="M117" s="152"/>
      <c r="N117" s="152"/>
      <c r="O117" s="152"/>
      <c r="P117" s="152"/>
      <c r="Q117" s="153"/>
      <c r="R117" s="155"/>
      <c r="S117" s="115"/>
      <c r="T117" s="88"/>
      <c r="U117" s="116"/>
      <c r="V117" s="63"/>
      <c r="W117" s="13"/>
      <c r="X117" s="13"/>
      <c r="Y117" s="13"/>
    </row>
    <row r="118" s="4" customFormat="true" ht="24.75" hidden="false" customHeight="true" outlineLevel="0" collapsed="false">
      <c r="A118" s="76" t="n">
        <v>75</v>
      </c>
      <c r="B118" s="77" t="s">
        <v>126</v>
      </c>
      <c r="C118" s="78"/>
      <c r="D118" s="79"/>
      <c r="E118" s="80"/>
      <c r="F118" s="80"/>
      <c r="G118" s="80"/>
      <c r="H118" s="154" t="n">
        <v>0.295</v>
      </c>
      <c r="I118" s="152"/>
      <c r="J118" s="152" t="n">
        <v>4116</v>
      </c>
      <c r="K118" s="152" t="n">
        <f aca="false">J118*0.95</f>
        <v>3910.2</v>
      </c>
      <c r="L118" s="152" t="n">
        <f aca="false">J118-K118</f>
        <v>205.8</v>
      </c>
      <c r="M118" s="152"/>
      <c r="N118" s="152"/>
      <c r="O118" s="152"/>
      <c r="P118" s="152"/>
      <c r="Q118" s="153"/>
      <c r="R118" s="155"/>
      <c r="S118" s="115"/>
      <c r="T118" s="88"/>
      <c r="U118" s="116"/>
      <c r="V118" s="63"/>
      <c r="W118" s="13"/>
      <c r="X118" s="13"/>
      <c r="Y118" s="13"/>
    </row>
    <row r="119" s="4" customFormat="true" ht="24.75" hidden="false" customHeight="true" outlineLevel="0" collapsed="false">
      <c r="A119" s="76" t="n">
        <v>76</v>
      </c>
      <c r="B119" s="77" t="s">
        <v>127</v>
      </c>
      <c r="C119" s="78"/>
      <c r="D119" s="79"/>
      <c r="E119" s="80"/>
      <c r="F119" s="80"/>
      <c r="G119" s="80"/>
      <c r="H119" s="154" t="n">
        <v>0.56</v>
      </c>
      <c r="I119" s="152"/>
      <c r="J119" s="152" t="n">
        <v>5366.99</v>
      </c>
      <c r="K119" s="152" t="n">
        <f aca="false">J119*0.95</f>
        <v>5098.6405</v>
      </c>
      <c r="L119" s="152" t="n">
        <f aca="false">J119-K119</f>
        <v>268.3495</v>
      </c>
      <c r="M119" s="152"/>
      <c r="N119" s="152"/>
      <c r="O119" s="152"/>
      <c r="P119" s="152"/>
      <c r="Q119" s="153"/>
      <c r="R119" s="155"/>
      <c r="S119" s="115"/>
      <c r="T119" s="88"/>
      <c r="U119" s="116"/>
      <c r="V119" s="63"/>
      <c r="W119" s="13"/>
      <c r="X119" s="13"/>
      <c r="Y119" s="13"/>
    </row>
    <row r="120" s="4" customFormat="true" ht="24.75" hidden="false" customHeight="true" outlineLevel="0" collapsed="false">
      <c r="A120" s="76" t="n">
        <v>77</v>
      </c>
      <c r="B120" s="77" t="s">
        <v>128</v>
      </c>
      <c r="C120" s="78"/>
      <c r="D120" s="79"/>
      <c r="E120" s="80"/>
      <c r="F120" s="80"/>
      <c r="G120" s="80"/>
      <c r="H120" s="154" t="n">
        <v>1.85</v>
      </c>
      <c r="I120" s="152"/>
      <c r="J120" s="152" t="n">
        <v>8027.53</v>
      </c>
      <c r="K120" s="152" t="n">
        <f aca="false">J120*0.95</f>
        <v>7626.1535</v>
      </c>
      <c r="L120" s="152" t="n">
        <f aca="false">J120-K120</f>
        <v>401.3765</v>
      </c>
      <c r="M120" s="152"/>
      <c r="N120" s="152"/>
      <c r="O120" s="152"/>
      <c r="P120" s="152"/>
      <c r="Q120" s="153"/>
      <c r="R120" s="155"/>
      <c r="S120" s="115"/>
      <c r="T120" s="88"/>
      <c r="U120" s="116"/>
      <c r="V120" s="63"/>
      <c r="W120" s="13"/>
      <c r="X120" s="13"/>
      <c r="Y120" s="13"/>
    </row>
    <row r="121" s="4" customFormat="true" ht="24.75" hidden="false" customHeight="true" outlineLevel="0" collapsed="false">
      <c r="A121" s="76" t="n">
        <v>78</v>
      </c>
      <c r="B121" s="77" t="s">
        <v>129</v>
      </c>
      <c r="C121" s="78"/>
      <c r="D121" s="79"/>
      <c r="E121" s="80"/>
      <c r="F121" s="80"/>
      <c r="G121" s="80"/>
      <c r="H121" s="154" t="n">
        <v>2.48</v>
      </c>
      <c r="I121" s="152"/>
      <c r="J121" s="152" t="n">
        <v>22576.89</v>
      </c>
      <c r="K121" s="152" t="n">
        <f aca="false">J121*0.95</f>
        <v>21448.0455</v>
      </c>
      <c r="L121" s="152" t="n">
        <f aca="false">J121-K121</f>
        <v>1128.8445</v>
      </c>
      <c r="M121" s="152"/>
      <c r="N121" s="152"/>
      <c r="O121" s="152"/>
      <c r="P121" s="152"/>
      <c r="Q121" s="153"/>
      <c r="R121" s="155"/>
      <c r="S121" s="115"/>
      <c r="T121" s="88"/>
      <c r="U121" s="116"/>
      <c r="V121" s="63"/>
      <c r="W121" s="13"/>
      <c r="X121" s="13"/>
      <c r="Y121" s="13"/>
    </row>
    <row r="122" s="4" customFormat="true" ht="24.75" hidden="false" customHeight="true" outlineLevel="0" collapsed="false">
      <c r="A122" s="76" t="n">
        <v>79</v>
      </c>
      <c r="B122" s="77" t="s">
        <v>130</v>
      </c>
      <c r="C122" s="78"/>
      <c r="D122" s="79"/>
      <c r="E122" s="80"/>
      <c r="F122" s="80"/>
      <c r="G122" s="80"/>
      <c r="H122" s="154" t="n">
        <v>0.55</v>
      </c>
      <c r="I122" s="152"/>
      <c r="J122" s="152" t="n">
        <v>4980.22</v>
      </c>
      <c r="K122" s="152" t="n">
        <f aca="false">J122*0.95</f>
        <v>4731.209</v>
      </c>
      <c r="L122" s="152" t="n">
        <f aca="false">J122-K122</f>
        <v>249.011</v>
      </c>
      <c r="M122" s="152"/>
      <c r="N122" s="152"/>
      <c r="O122" s="152"/>
      <c r="P122" s="152"/>
      <c r="Q122" s="153"/>
      <c r="R122" s="155"/>
      <c r="S122" s="115"/>
      <c r="T122" s="88"/>
      <c r="U122" s="116"/>
      <c r="V122" s="63"/>
      <c r="W122" s="13"/>
      <c r="X122" s="13"/>
      <c r="Y122" s="13"/>
    </row>
    <row r="123" s="4" customFormat="true" ht="24.75" hidden="false" customHeight="true" outlineLevel="0" collapsed="false">
      <c r="A123" s="76" t="n">
        <v>80</v>
      </c>
      <c r="B123" s="77" t="s">
        <v>131</v>
      </c>
      <c r="C123" s="78"/>
      <c r="D123" s="79"/>
      <c r="E123" s="80" t="n">
        <v>31579</v>
      </c>
      <c r="F123" s="80" t="n">
        <v>30000</v>
      </c>
      <c r="G123" s="80" t="n">
        <f aca="false">E123-F123</f>
        <v>1579</v>
      </c>
      <c r="H123" s="154" t="n">
        <v>1.485</v>
      </c>
      <c r="I123" s="152"/>
      <c r="J123" s="152" t="n">
        <v>6733.9</v>
      </c>
      <c r="K123" s="152" t="n">
        <f aca="false">J123*0.95+0.005</f>
        <v>6397.21</v>
      </c>
      <c r="L123" s="152" t="n">
        <f aca="false">J123-K123</f>
        <v>336.690000000001</v>
      </c>
      <c r="M123" s="152"/>
      <c r="N123" s="152"/>
      <c r="O123" s="152"/>
      <c r="P123" s="152"/>
      <c r="Q123" s="153"/>
      <c r="R123" s="155"/>
      <c r="S123" s="115"/>
      <c r="T123" s="88"/>
      <c r="U123" s="116"/>
      <c r="V123" s="63"/>
      <c r="W123" s="13"/>
      <c r="X123" s="13"/>
      <c r="Y123" s="13"/>
    </row>
    <row r="124" s="4" customFormat="true" ht="24.75" hidden="false" customHeight="true" outlineLevel="0" collapsed="false">
      <c r="A124" s="76" t="n">
        <v>81</v>
      </c>
      <c r="B124" s="77" t="s">
        <v>132</v>
      </c>
      <c r="C124" s="78"/>
      <c r="D124" s="79"/>
      <c r="E124" s="80"/>
      <c r="F124" s="80"/>
      <c r="G124" s="80"/>
      <c r="H124" s="154" t="n">
        <v>0.945</v>
      </c>
      <c r="I124" s="152"/>
      <c r="J124" s="152" t="n">
        <v>16761.8</v>
      </c>
      <c r="K124" s="152" t="n">
        <f aca="false">J124*0.95</f>
        <v>15923.71</v>
      </c>
      <c r="L124" s="152" t="n">
        <f aca="false">J124-K124</f>
        <v>838.09</v>
      </c>
      <c r="M124" s="152"/>
      <c r="N124" s="152"/>
      <c r="O124" s="152"/>
      <c r="P124" s="152"/>
      <c r="Q124" s="153"/>
      <c r="R124" s="155"/>
      <c r="S124" s="115"/>
      <c r="T124" s="88"/>
      <c r="U124" s="116"/>
      <c r="V124" s="63"/>
      <c r="W124" s="13"/>
      <c r="X124" s="13"/>
      <c r="Y124" s="13"/>
    </row>
    <row r="125" s="4" customFormat="true" ht="24.75" hidden="false" customHeight="true" outlineLevel="0" collapsed="false">
      <c r="A125" s="76" t="n">
        <v>82</v>
      </c>
      <c r="B125" s="77" t="s">
        <v>133</v>
      </c>
      <c r="C125" s="78"/>
      <c r="D125" s="79"/>
      <c r="E125" s="80"/>
      <c r="F125" s="80"/>
      <c r="G125" s="80"/>
      <c r="H125" s="154" t="n">
        <v>0.57</v>
      </c>
      <c r="I125" s="152"/>
      <c r="J125" s="152" t="n">
        <v>8366.71</v>
      </c>
      <c r="K125" s="152" t="n">
        <f aca="false">J125*0.95</f>
        <v>7948.3745</v>
      </c>
      <c r="L125" s="152" t="n">
        <f aca="false">J125-K125</f>
        <v>418.3355</v>
      </c>
      <c r="M125" s="152"/>
      <c r="N125" s="152"/>
      <c r="O125" s="152"/>
      <c r="P125" s="152"/>
      <c r="Q125" s="153"/>
      <c r="R125" s="155"/>
      <c r="S125" s="115"/>
      <c r="T125" s="88"/>
      <c r="U125" s="116"/>
      <c r="V125" s="63"/>
      <c r="W125" s="13"/>
      <c r="X125" s="13"/>
      <c r="Y125" s="13"/>
    </row>
    <row r="126" s="4" customFormat="true" ht="24.75" hidden="false" customHeight="true" outlineLevel="0" collapsed="false">
      <c r="A126" s="76" t="n">
        <v>83</v>
      </c>
      <c r="B126" s="77" t="s">
        <v>134</v>
      </c>
      <c r="C126" s="78"/>
      <c r="D126" s="79"/>
      <c r="E126" s="80"/>
      <c r="F126" s="80"/>
      <c r="G126" s="80"/>
      <c r="H126" s="154" t="n">
        <v>0.293</v>
      </c>
      <c r="I126" s="152"/>
      <c r="J126" s="152" t="n">
        <v>3638.95</v>
      </c>
      <c r="K126" s="152" t="n">
        <f aca="false">J126*0.95</f>
        <v>3457.0025</v>
      </c>
      <c r="L126" s="152" t="n">
        <f aca="false">J126-K126</f>
        <v>181.9475</v>
      </c>
      <c r="M126" s="152"/>
      <c r="N126" s="152"/>
      <c r="O126" s="152"/>
      <c r="P126" s="152"/>
      <c r="Q126" s="153"/>
      <c r="R126" s="155"/>
      <c r="S126" s="115"/>
      <c r="T126" s="88"/>
      <c r="U126" s="116"/>
      <c r="V126" s="63"/>
      <c r="W126" s="13"/>
      <c r="X126" s="13"/>
      <c r="Y126" s="13"/>
    </row>
    <row r="127" s="4" customFormat="true" ht="24.75" hidden="false" customHeight="true" outlineLevel="0" collapsed="false">
      <c r="A127" s="76" t="n">
        <v>84</v>
      </c>
      <c r="B127" s="77" t="s">
        <v>135</v>
      </c>
      <c r="C127" s="78"/>
      <c r="D127" s="79"/>
      <c r="E127" s="80"/>
      <c r="F127" s="80"/>
      <c r="G127" s="80"/>
      <c r="H127" s="154" t="n">
        <v>0.513</v>
      </c>
      <c r="I127" s="152"/>
      <c r="J127" s="152" t="n">
        <v>6310.36</v>
      </c>
      <c r="K127" s="152" t="n">
        <f aca="false">J127*0.95</f>
        <v>5994.842</v>
      </c>
      <c r="L127" s="152" t="n">
        <f aca="false">J127-K127</f>
        <v>315.518</v>
      </c>
      <c r="M127" s="152"/>
      <c r="N127" s="152"/>
      <c r="O127" s="152"/>
      <c r="P127" s="152"/>
      <c r="Q127" s="153"/>
      <c r="R127" s="155"/>
      <c r="S127" s="115"/>
      <c r="T127" s="88"/>
      <c r="U127" s="116"/>
      <c r="V127" s="63"/>
      <c r="W127" s="13"/>
      <c r="X127" s="13"/>
      <c r="Y127" s="13"/>
    </row>
    <row r="128" s="4" customFormat="true" ht="24.75" hidden="false" customHeight="true" outlineLevel="0" collapsed="false">
      <c r="A128" s="76" t="n">
        <v>85</v>
      </c>
      <c r="B128" s="77" t="s">
        <v>136</v>
      </c>
      <c r="C128" s="78"/>
      <c r="D128" s="79"/>
      <c r="E128" s="80"/>
      <c r="F128" s="80"/>
      <c r="G128" s="80"/>
      <c r="H128" s="154" t="n">
        <v>0.553</v>
      </c>
      <c r="I128" s="152"/>
      <c r="J128" s="152" t="n">
        <v>1586.18</v>
      </c>
      <c r="K128" s="152" t="n">
        <f aca="false">J128*0.95</f>
        <v>1506.871</v>
      </c>
      <c r="L128" s="152" t="n">
        <f aca="false">J128-K128</f>
        <v>79.309</v>
      </c>
      <c r="M128" s="152"/>
      <c r="N128" s="152"/>
      <c r="O128" s="152"/>
      <c r="P128" s="152"/>
      <c r="Q128" s="153"/>
      <c r="R128" s="155"/>
      <c r="S128" s="115"/>
      <c r="T128" s="88"/>
      <c r="U128" s="116"/>
      <c r="V128" s="63"/>
      <c r="W128" s="13"/>
      <c r="X128" s="13"/>
      <c r="Y128" s="13"/>
    </row>
    <row r="129" s="4" customFormat="true" ht="24.75" hidden="false" customHeight="true" outlineLevel="0" collapsed="false">
      <c r="A129" s="76" t="n">
        <v>86</v>
      </c>
      <c r="B129" s="77" t="s">
        <v>137</v>
      </c>
      <c r="C129" s="78"/>
      <c r="D129" s="79"/>
      <c r="E129" s="80"/>
      <c r="F129" s="80"/>
      <c r="G129" s="80"/>
      <c r="H129" s="154" t="n">
        <v>0.56</v>
      </c>
      <c r="I129" s="152"/>
      <c r="J129" s="152" t="n">
        <v>744.5</v>
      </c>
      <c r="K129" s="152" t="n">
        <f aca="false">J129*0.95</f>
        <v>707.275</v>
      </c>
      <c r="L129" s="152" t="n">
        <f aca="false">J129-K129</f>
        <v>37.225</v>
      </c>
      <c r="M129" s="152"/>
      <c r="N129" s="152"/>
      <c r="O129" s="152"/>
      <c r="P129" s="152"/>
      <c r="Q129" s="153"/>
      <c r="R129" s="155"/>
      <c r="S129" s="115"/>
      <c r="T129" s="88"/>
      <c r="U129" s="116"/>
      <c r="V129" s="63"/>
      <c r="W129" s="13"/>
      <c r="X129" s="13"/>
      <c r="Y129" s="13"/>
    </row>
    <row r="130" s="4" customFormat="true" ht="24.75" hidden="false" customHeight="true" outlineLevel="0" collapsed="false">
      <c r="A130" s="76" t="n">
        <v>87</v>
      </c>
      <c r="B130" s="77" t="s">
        <v>138</v>
      </c>
      <c r="C130" s="78"/>
      <c r="D130" s="79"/>
      <c r="E130" s="80"/>
      <c r="F130" s="80"/>
      <c r="G130" s="80"/>
      <c r="H130" s="154" t="n">
        <v>0.45</v>
      </c>
      <c r="I130" s="152"/>
      <c r="J130" s="152" t="n">
        <v>902.66</v>
      </c>
      <c r="K130" s="152" t="n">
        <f aca="false">J130*0.95</f>
        <v>857.527</v>
      </c>
      <c r="L130" s="152" t="n">
        <f aca="false">J130-K130</f>
        <v>45.133</v>
      </c>
      <c r="M130" s="152"/>
      <c r="N130" s="152"/>
      <c r="O130" s="152"/>
      <c r="P130" s="152"/>
      <c r="Q130" s="153"/>
      <c r="R130" s="155"/>
      <c r="S130" s="115"/>
      <c r="T130" s="88"/>
      <c r="U130" s="116"/>
      <c r="V130" s="63"/>
      <c r="W130" s="13"/>
      <c r="X130" s="13"/>
      <c r="Y130" s="13"/>
    </row>
    <row r="131" s="4" customFormat="true" ht="24.75" hidden="false" customHeight="true" outlineLevel="0" collapsed="false">
      <c r="A131" s="76" t="n">
        <v>88</v>
      </c>
      <c r="B131" s="77" t="s">
        <v>139</v>
      </c>
      <c r="C131" s="78"/>
      <c r="D131" s="79"/>
      <c r="E131" s="80"/>
      <c r="F131" s="80"/>
      <c r="G131" s="80"/>
      <c r="H131" s="154" t="n">
        <v>0.56</v>
      </c>
      <c r="I131" s="152"/>
      <c r="J131" s="152" t="n">
        <v>6842.73</v>
      </c>
      <c r="K131" s="152" t="n">
        <f aca="false">J131*0.95</f>
        <v>6500.5935</v>
      </c>
      <c r="L131" s="152" t="n">
        <f aca="false">J131-K131</f>
        <v>342.136500000001</v>
      </c>
      <c r="M131" s="152"/>
      <c r="N131" s="152"/>
      <c r="O131" s="152"/>
      <c r="P131" s="152"/>
      <c r="Q131" s="153"/>
      <c r="R131" s="155"/>
      <c r="S131" s="115"/>
      <c r="T131" s="88"/>
      <c r="U131" s="116"/>
      <c r="V131" s="63"/>
      <c r="W131" s="13"/>
      <c r="X131" s="13"/>
      <c r="Y131" s="13"/>
    </row>
    <row r="132" s="4" customFormat="true" ht="24.75" hidden="false" customHeight="true" outlineLevel="0" collapsed="false">
      <c r="A132" s="76" t="n">
        <v>89</v>
      </c>
      <c r="B132" s="77" t="s">
        <v>140</v>
      </c>
      <c r="C132" s="78"/>
      <c r="D132" s="79"/>
      <c r="E132" s="80"/>
      <c r="F132" s="80"/>
      <c r="G132" s="80"/>
      <c r="H132" s="154" t="n">
        <v>3.1</v>
      </c>
      <c r="I132" s="152"/>
      <c r="J132" s="152" t="n">
        <v>23443.92</v>
      </c>
      <c r="K132" s="152" t="n">
        <f aca="false">J132*0.95</f>
        <v>22271.724</v>
      </c>
      <c r="L132" s="152" t="n">
        <f aca="false">J132-K132</f>
        <v>1172.196</v>
      </c>
      <c r="M132" s="152"/>
      <c r="N132" s="152"/>
      <c r="O132" s="152"/>
      <c r="P132" s="152"/>
      <c r="Q132" s="153"/>
      <c r="R132" s="155"/>
      <c r="S132" s="115"/>
      <c r="T132" s="88"/>
      <c r="U132" s="116"/>
      <c r="V132" s="63"/>
      <c r="W132" s="13"/>
      <c r="X132" s="13"/>
      <c r="Y132" s="13"/>
    </row>
    <row r="133" s="4" customFormat="true" ht="24.75" hidden="false" customHeight="true" outlineLevel="0" collapsed="false">
      <c r="A133" s="76" t="n">
        <v>90</v>
      </c>
      <c r="B133" s="77" t="s">
        <v>141</v>
      </c>
      <c r="C133" s="78"/>
      <c r="D133" s="79"/>
      <c r="E133" s="80"/>
      <c r="F133" s="80"/>
      <c r="G133" s="80"/>
      <c r="H133" s="154" t="n">
        <v>0.881</v>
      </c>
      <c r="I133" s="152"/>
      <c r="J133" s="152" t="n">
        <v>8561.6</v>
      </c>
      <c r="K133" s="152" t="n">
        <f aca="false">J133*0.95</f>
        <v>8133.52</v>
      </c>
      <c r="L133" s="152" t="n">
        <f aca="false">J133-K133</f>
        <v>428.080000000001</v>
      </c>
      <c r="M133" s="152"/>
      <c r="N133" s="152"/>
      <c r="O133" s="152"/>
      <c r="P133" s="152"/>
      <c r="Q133" s="153"/>
      <c r="R133" s="155"/>
      <c r="S133" s="115"/>
      <c r="T133" s="88"/>
      <c r="U133" s="116"/>
      <c r="V133" s="63"/>
      <c r="W133" s="13"/>
      <c r="X133" s="13"/>
      <c r="Y133" s="13"/>
    </row>
    <row r="134" s="4" customFormat="true" ht="24.75" hidden="false" customHeight="true" outlineLevel="0" collapsed="false">
      <c r="A134" s="76" t="n">
        <v>91</v>
      </c>
      <c r="B134" s="77" t="s">
        <v>142</v>
      </c>
      <c r="C134" s="78"/>
      <c r="D134" s="79"/>
      <c r="E134" s="80"/>
      <c r="F134" s="80"/>
      <c r="G134" s="80"/>
      <c r="H134" s="154" t="n">
        <v>1.78</v>
      </c>
      <c r="I134" s="152"/>
      <c r="J134" s="152" t="n">
        <v>21754.86</v>
      </c>
      <c r="K134" s="152" t="n">
        <f aca="false">J134*0.95</f>
        <v>20667.117</v>
      </c>
      <c r="L134" s="152" t="n">
        <f aca="false">J134-K134</f>
        <v>1087.743</v>
      </c>
      <c r="M134" s="152"/>
      <c r="N134" s="152"/>
      <c r="O134" s="152"/>
      <c r="P134" s="152"/>
      <c r="Q134" s="153"/>
      <c r="R134" s="155"/>
      <c r="S134" s="115"/>
      <c r="T134" s="88"/>
      <c r="U134" s="116"/>
      <c r="V134" s="63"/>
      <c r="W134" s="13"/>
      <c r="X134" s="13"/>
      <c r="Y134" s="13"/>
    </row>
    <row r="135" s="4" customFormat="true" ht="24.75" hidden="false" customHeight="true" outlineLevel="0" collapsed="false">
      <c r="A135" s="76" t="n">
        <v>92</v>
      </c>
      <c r="B135" s="77" t="s">
        <v>143</v>
      </c>
      <c r="C135" s="78"/>
      <c r="D135" s="79"/>
      <c r="E135" s="80"/>
      <c r="F135" s="80"/>
      <c r="G135" s="80"/>
      <c r="H135" s="154" t="n">
        <v>0.471</v>
      </c>
      <c r="I135" s="152"/>
      <c r="J135" s="152" t="n">
        <v>23435.99</v>
      </c>
      <c r="K135" s="152" t="n">
        <f aca="false">J135*0.95</f>
        <v>22264.1905</v>
      </c>
      <c r="L135" s="152" t="n">
        <f aca="false">J135-K135</f>
        <v>1171.7995</v>
      </c>
      <c r="M135" s="152"/>
      <c r="N135" s="152"/>
      <c r="O135" s="152"/>
      <c r="P135" s="152"/>
      <c r="Q135" s="153"/>
      <c r="R135" s="155"/>
      <c r="S135" s="115"/>
      <c r="T135" s="88"/>
      <c r="U135" s="116"/>
      <c r="V135" s="63"/>
      <c r="W135" s="13"/>
      <c r="X135" s="13"/>
      <c r="Y135" s="13"/>
    </row>
    <row r="136" s="4" customFormat="true" ht="24.75" hidden="false" customHeight="true" outlineLevel="0" collapsed="false">
      <c r="A136" s="76" t="n">
        <v>93</v>
      </c>
      <c r="B136" s="77" t="s">
        <v>144</v>
      </c>
      <c r="C136" s="78"/>
      <c r="D136" s="79"/>
      <c r="E136" s="80"/>
      <c r="F136" s="80"/>
      <c r="G136" s="80"/>
      <c r="H136" s="154" t="n">
        <v>0.253</v>
      </c>
      <c r="I136" s="152"/>
      <c r="J136" s="152" t="n">
        <v>2296.52</v>
      </c>
      <c r="K136" s="152" t="n">
        <f aca="false">J136*0.95</f>
        <v>2181.694</v>
      </c>
      <c r="L136" s="152" t="n">
        <f aca="false">J136-K136</f>
        <v>114.826</v>
      </c>
      <c r="M136" s="152"/>
      <c r="N136" s="152"/>
      <c r="O136" s="152"/>
      <c r="P136" s="152"/>
      <c r="Q136" s="153"/>
      <c r="R136" s="155"/>
      <c r="S136" s="115"/>
      <c r="T136" s="88"/>
      <c r="U136" s="116"/>
      <c r="V136" s="63"/>
      <c r="W136" s="13"/>
      <c r="X136" s="13"/>
      <c r="Y136" s="13"/>
    </row>
    <row r="137" s="4" customFormat="true" ht="24.75" hidden="false" customHeight="true" outlineLevel="0" collapsed="false">
      <c r="A137" s="76" t="n">
        <v>94</v>
      </c>
      <c r="B137" s="77" t="s">
        <v>145</v>
      </c>
      <c r="C137" s="78"/>
      <c r="D137" s="79"/>
      <c r="E137" s="80"/>
      <c r="F137" s="80"/>
      <c r="G137" s="80"/>
      <c r="H137" s="154" t="n">
        <v>0.61</v>
      </c>
      <c r="I137" s="152"/>
      <c r="J137" s="152" t="n">
        <v>6400.81</v>
      </c>
      <c r="K137" s="152" t="n">
        <f aca="false">J137*0.95</f>
        <v>6080.7695</v>
      </c>
      <c r="L137" s="152" t="n">
        <f aca="false">J137-K137</f>
        <v>320.0405</v>
      </c>
      <c r="M137" s="152"/>
      <c r="N137" s="152"/>
      <c r="O137" s="152"/>
      <c r="P137" s="152"/>
      <c r="Q137" s="153"/>
      <c r="R137" s="155"/>
      <c r="S137" s="115"/>
      <c r="T137" s="88"/>
      <c r="U137" s="116"/>
      <c r="V137" s="63"/>
      <c r="W137" s="13"/>
      <c r="X137" s="13"/>
      <c r="Y137" s="13"/>
    </row>
    <row r="138" s="4" customFormat="true" ht="24.75" hidden="false" customHeight="true" outlineLevel="0" collapsed="false">
      <c r="A138" s="76" t="n">
        <v>95</v>
      </c>
      <c r="B138" s="77" t="s">
        <v>146</v>
      </c>
      <c r="C138" s="78"/>
      <c r="D138" s="79"/>
      <c r="E138" s="80"/>
      <c r="F138" s="80"/>
      <c r="G138" s="80"/>
      <c r="H138" s="154" t="n">
        <v>0.195</v>
      </c>
      <c r="I138" s="152"/>
      <c r="J138" s="152" t="n">
        <v>963.68</v>
      </c>
      <c r="K138" s="152" t="n">
        <f aca="false">J138*0.95</f>
        <v>915.496</v>
      </c>
      <c r="L138" s="152" t="n">
        <f aca="false">J138-K138</f>
        <v>48.1840000000001</v>
      </c>
      <c r="M138" s="152"/>
      <c r="N138" s="152"/>
      <c r="O138" s="152"/>
      <c r="P138" s="152"/>
      <c r="Q138" s="153"/>
      <c r="R138" s="155"/>
      <c r="S138" s="115"/>
      <c r="T138" s="88"/>
      <c r="U138" s="116"/>
      <c r="V138" s="63"/>
      <c r="W138" s="13"/>
      <c r="X138" s="13"/>
      <c r="Y138" s="13"/>
    </row>
    <row r="139" s="4" customFormat="true" ht="26.25" hidden="false" customHeight="true" outlineLevel="0" collapsed="false">
      <c r="A139" s="76"/>
      <c r="B139" s="69" t="s">
        <v>147</v>
      </c>
      <c r="C139" s="70" t="n">
        <f aca="false">C140</f>
        <v>3.442</v>
      </c>
      <c r="D139" s="67"/>
      <c r="E139" s="70" t="n">
        <f aca="false">E140</f>
        <v>39750.3</v>
      </c>
      <c r="F139" s="70" t="n">
        <f aca="false">F140</f>
        <v>37762.8</v>
      </c>
      <c r="G139" s="70" t="n">
        <f aca="false">G140</f>
        <v>1987.5</v>
      </c>
      <c r="H139" s="70"/>
      <c r="I139" s="70"/>
      <c r="J139" s="70"/>
      <c r="K139" s="70"/>
      <c r="L139" s="88"/>
      <c r="M139" s="70" t="n">
        <f aca="false">SUM(M144:M149)</f>
        <v>4.7023</v>
      </c>
      <c r="N139" s="88"/>
      <c r="O139" s="70" t="n">
        <f aca="false">SUM(O144:O149)</f>
        <v>75383.9</v>
      </c>
      <c r="P139" s="70" t="n">
        <f aca="false">SUM(P144:P149)</f>
        <v>71614.7</v>
      </c>
      <c r="Q139" s="72" t="n">
        <f aca="false">SUM(Q144:Q149)</f>
        <v>3769.2</v>
      </c>
      <c r="R139" s="156" t="n">
        <f aca="false">R140</f>
        <v>1.6</v>
      </c>
      <c r="S139" s="70"/>
      <c r="T139" s="70" t="n">
        <f aca="false">T140</f>
        <v>40000</v>
      </c>
      <c r="U139" s="71" t="n">
        <f aca="false">U140</f>
        <v>38000</v>
      </c>
      <c r="V139" s="72" t="n">
        <f aca="false">V140</f>
        <v>2000</v>
      </c>
    </row>
    <row r="140" s="4" customFormat="true" ht="29.25" hidden="false" customHeight="true" outlineLevel="0" collapsed="false">
      <c r="A140" s="157"/>
      <c r="B140" s="91" t="s">
        <v>65</v>
      </c>
      <c r="C140" s="78" t="n">
        <f aca="false">SUM(C141:C143)</f>
        <v>3.442</v>
      </c>
      <c r="D140" s="80"/>
      <c r="E140" s="80" t="n">
        <f aca="false">SUM(E141:E143)</f>
        <v>39750.3</v>
      </c>
      <c r="F140" s="80" t="n">
        <f aca="false">SUM(F141:F143)</f>
        <v>37762.8</v>
      </c>
      <c r="G140" s="80" t="n">
        <f aca="false">SUM(G141:G143)</f>
        <v>1987.5</v>
      </c>
      <c r="H140" s="70"/>
      <c r="I140" s="70"/>
      <c r="J140" s="70"/>
      <c r="K140" s="70"/>
      <c r="L140" s="88"/>
      <c r="M140" s="88"/>
      <c r="N140" s="88"/>
      <c r="O140" s="88"/>
      <c r="P140" s="88"/>
      <c r="Q140" s="158"/>
      <c r="R140" s="125" t="n">
        <v>1.6</v>
      </c>
      <c r="S140" s="126"/>
      <c r="T140" s="118" t="n">
        <v>40000</v>
      </c>
      <c r="U140" s="127" t="n">
        <f aca="false">T140*0.95</f>
        <v>38000</v>
      </c>
      <c r="V140" s="128" t="n">
        <f aca="false">T140-U140</f>
        <v>2000</v>
      </c>
    </row>
    <row r="141" s="4" customFormat="true" ht="27" hidden="false" customHeight="true" outlineLevel="0" collapsed="false">
      <c r="A141" s="76" t="n">
        <v>96</v>
      </c>
      <c r="B141" s="77" t="s">
        <v>148</v>
      </c>
      <c r="C141" s="78" t="n">
        <v>1.314</v>
      </c>
      <c r="D141" s="80"/>
      <c r="E141" s="80" t="n">
        <f aca="false">F141+G141</f>
        <v>17316.38772</v>
      </c>
      <c r="F141" s="80" t="n">
        <f aca="false">16450.53986+0.04411</f>
        <v>16450.58397</v>
      </c>
      <c r="G141" s="80" t="n">
        <f aca="false">865.8179-0.01348-0.00067</f>
        <v>865.80375</v>
      </c>
      <c r="H141" s="70"/>
      <c r="I141" s="70"/>
      <c r="J141" s="70"/>
      <c r="K141" s="70"/>
      <c r="L141" s="88"/>
      <c r="M141" s="88"/>
      <c r="N141" s="88"/>
      <c r="O141" s="88"/>
      <c r="P141" s="88"/>
      <c r="Q141" s="158"/>
      <c r="R141" s="125"/>
      <c r="S141" s="126"/>
      <c r="T141" s="118"/>
      <c r="U141" s="127"/>
      <c r="V141" s="128"/>
    </row>
    <row r="142" s="4" customFormat="true" ht="27" hidden="false" customHeight="true" outlineLevel="0" collapsed="false">
      <c r="A142" s="76" t="n">
        <v>97</v>
      </c>
      <c r="B142" s="77" t="s">
        <v>149</v>
      </c>
      <c r="C142" s="78" t="n">
        <v>0.756</v>
      </c>
      <c r="D142" s="80"/>
      <c r="E142" s="80" t="n">
        <f aca="false">F142+G142</f>
        <v>16488.92493</v>
      </c>
      <c r="F142" s="80" t="n">
        <v>15664.47868</v>
      </c>
      <c r="G142" s="80" t="n">
        <v>824.44625</v>
      </c>
      <c r="H142" s="70"/>
      <c r="I142" s="70"/>
      <c r="J142" s="70"/>
      <c r="K142" s="70"/>
      <c r="L142" s="88"/>
      <c r="M142" s="88"/>
      <c r="N142" s="88"/>
      <c r="O142" s="88"/>
      <c r="P142" s="88"/>
      <c r="Q142" s="158"/>
      <c r="R142" s="125"/>
      <c r="S142" s="126"/>
      <c r="T142" s="118"/>
      <c r="U142" s="127"/>
      <c r="V142" s="128"/>
    </row>
    <row r="143" s="4" customFormat="true" ht="24" hidden="false" customHeight="true" outlineLevel="0" collapsed="false">
      <c r="A143" s="76" t="n">
        <v>98</v>
      </c>
      <c r="B143" s="77" t="s">
        <v>150</v>
      </c>
      <c r="C143" s="78" t="n">
        <v>1.372</v>
      </c>
      <c r="D143" s="80"/>
      <c r="E143" s="80" t="n">
        <f aca="false">F143+G143</f>
        <v>5944.98735</v>
      </c>
      <c r="F143" s="80" t="n">
        <v>5647.73735</v>
      </c>
      <c r="G143" s="80" t="n">
        <f aca="false">297.24933+0.00067</f>
        <v>297.25</v>
      </c>
      <c r="H143" s="70"/>
      <c r="I143" s="70"/>
      <c r="J143" s="70"/>
      <c r="K143" s="70"/>
      <c r="L143" s="88"/>
      <c r="M143" s="88"/>
      <c r="N143" s="88"/>
      <c r="O143" s="88"/>
      <c r="P143" s="88"/>
      <c r="Q143" s="158"/>
      <c r="R143" s="125"/>
      <c r="S143" s="126"/>
      <c r="T143" s="118"/>
      <c r="U143" s="127"/>
      <c r="V143" s="128"/>
      <c r="Y143" s="4" t="s">
        <v>45</v>
      </c>
    </row>
    <row r="144" s="4" customFormat="true" ht="30.8" hidden="false" customHeight="true" outlineLevel="0" collapsed="false">
      <c r="A144" s="76" t="n">
        <v>99</v>
      </c>
      <c r="B144" s="77" t="s">
        <v>151</v>
      </c>
      <c r="C144" s="78"/>
      <c r="D144" s="80"/>
      <c r="E144" s="80"/>
      <c r="F144" s="80"/>
      <c r="G144" s="80"/>
      <c r="H144" s="70"/>
      <c r="I144" s="70"/>
      <c r="J144" s="70"/>
      <c r="K144" s="70"/>
      <c r="L144" s="88"/>
      <c r="M144" s="78" t="n">
        <v>0.84</v>
      </c>
      <c r="N144" s="80"/>
      <c r="O144" s="80" t="n">
        <v>24550.17</v>
      </c>
      <c r="P144" s="80" t="n">
        <v>23322.6615</v>
      </c>
      <c r="Q144" s="84" t="n">
        <f aca="false">O144-P144</f>
        <v>1227.5085</v>
      </c>
      <c r="R144" s="125"/>
      <c r="S144" s="126"/>
      <c r="T144" s="118"/>
      <c r="U144" s="127"/>
      <c r="V144" s="128"/>
    </row>
    <row r="145" s="4" customFormat="true" ht="27" hidden="false" customHeight="true" outlineLevel="0" collapsed="false">
      <c r="A145" s="76" t="n">
        <v>100</v>
      </c>
      <c r="B145" s="77" t="s">
        <v>152</v>
      </c>
      <c r="C145" s="78"/>
      <c r="D145" s="80"/>
      <c r="E145" s="80"/>
      <c r="F145" s="80"/>
      <c r="G145" s="80"/>
      <c r="H145" s="70"/>
      <c r="I145" s="70"/>
      <c r="J145" s="70"/>
      <c r="K145" s="70"/>
      <c r="L145" s="88"/>
      <c r="M145" s="78" t="n">
        <v>0.5936</v>
      </c>
      <c r="N145" s="80"/>
      <c r="O145" s="80" t="n">
        <v>5733.29</v>
      </c>
      <c r="P145" s="80" t="n">
        <v>5446.6255</v>
      </c>
      <c r="Q145" s="84" t="n">
        <f aca="false">O145-P145</f>
        <v>286.6645</v>
      </c>
      <c r="R145" s="125"/>
      <c r="S145" s="126"/>
      <c r="T145" s="118"/>
      <c r="U145" s="127"/>
      <c r="V145" s="128"/>
    </row>
    <row r="146" s="4" customFormat="true" ht="27" hidden="false" customHeight="true" outlineLevel="0" collapsed="false">
      <c r="A146" s="76" t="n">
        <v>101</v>
      </c>
      <c r="B146" s="77" t="s">
        <v>153</v>
      </c>
      <c r="C146" s="78"/>
      <c r="D146" s="80"/>
      <c r="E146" s="80"/>
      <c r="F146" s="80"/>
      <c r="G146" s="80"/>
      <c r="H146" s="70"/>
      <c r="I146" s="70"/>
      <c r="J146" s="70"/>
      <c r="K146" s="70"/>
      <c r="L146" s="88"/>
      <c r="M146" s="78" t="n">
        <v>0.3357</v>
      </c>
      <c r="N146" s="80"/>
      <c r="O146" s="80" t="n">
        <v>6702.26</v>
      </c>
      <c r="P146" s="80" t="n">
        <v>6367.147</v>
      </c>
      <c r="Q146" s="84" t="n">
        <f aca="false">O146-P146</f>
        <v>335.113</v>
      </c>
      <c r="R146" s="125"/>
      <c r="S146" s="126"/>
      <c r="T146" s="118"/>
      <c r="U146" s="127"/>
      <c r="V146" s="128"/>
    </row>
    <row r="147" s="4" customFormat="true" ht="27" hidden="false" customHeight="true" outlineLevel="0" collapsed="false">
      <c r="A147" s="76" t="n">
        <v>102</v>
      </c>
      <c r="B147" s="77" t="s">
        <v>154</v>
      </c>
      <c r="C147" s="78"/>
      <c r="D147" s="80"/>
      <c r="E147" s="80"/>
      <c r="F147" s="80"/>
      <c r="G147" s="80"/>
      <c r="H147" s="70"/>
      <c r="I147" s="70"/>
      <c r="J147" s="70"/>
      <c r="K147" s="70"/>
      <c r="L147" s="88"/>
      <c r="M147" s="78" t="n">
        <v>1.675</v>
      </c>
      <c r="N147" s="80"/>
      <c r="O147" s="80" t="n">
        <v>8311.54</v>
      </c>
      <c r="P147" s="80" t="n">
        <v>7895.963</v>
      </c>
      <c r="Q147" s="84" t="n">
        <f aca="false">O147-P147</f>
        <v>415.577000000001</v>
      </c>
      <c r="R147" s="125"/>
      <c r="S147" s="126"/>
      <c r="T147" s="118"/>
      <c r="U147" s="127"/>
      <c r="V147" s="128"/>
    </row>
    <row r="148" s="4" customFormat="true" ht="34.8" hidden="false" customHeight="true" outlineLevel="0" collapsed="false">
      <c r="A148" s="76"/>
      <c r="B148" s="121" t="s">
        <v>91</v>
      </c>
      <c r="C148" s="78"/>
      <c r="D148" s="80"/>
      <c r="E148" s="80"/>
      <c r="F148" s="80"/>
      <c r="G148" s="80"/>
      <c r="H148" s="70"/>
      <c r="I148" s="70"/>
      <c r="J148" s="70"/>
      <c r="K148" s="70"/>
      <c r="L148" s="88"/>
      <c r="M148" s="88"/>
      <c r="N148" s="88"/>
      <c r="O148" s="88"/>
      <c r="P148" s="88"/>
      <c r="Q148" s="158"/>
      <c r="R148" s="125"/>
      <c r="S148" s="126"/>
      <c r="T148" s="118"/>
      <c r="U148" s="127"/>
      <c r="V148" s="128"/>
    </row>
    <row r="149" s="4" customFormat="true" ht="41.25" hidden="false" customHeight="true" outlineLevel="0" collapsed="false">
      <c r="A149" s="76" t="n">
        <v>103</v>
      </c>
      <c r="B149" s="77" t="s">
        <v>155</v>
      </c>
      <c r="C149" s="78"/>
      <c r="D149" s="80"/>
      <c r="E149" s="80"/>
      <c r="F149" s="80"/>
      <c r="G149" s="80"/>
      <c r="H149" s="70"/>
      <c r="I149" s="70"/>
      <c r="J149" s="70"/>
      <c r="K149" s="70"/>
      <c r="L149" s="88"/>
      <c r="M149" s="78" t="n">
        <v>1.258</v>
      </c>
      <c r="N149" s="80"/>
      <c r="O149" s="80" t="n">
        <v>30086.64</v>
      </c>
      <c r="P149" s="80" t="n">
        <v>28582.303</v>
      </c>
      <c r="Q149" s="84" t="n">
        <f aca="false">O149-P149</f>
        <v>1504.337</v>
      </c>
      <c r="R149" s="125"/>
      <c r="S149" s="126"/>
      <c r="T149" s="118"/>
      <c r="U149" s="127"/>
      <c r="V149" s="128"/>
    </row>
    <row r="150" s="4" customFormat="true" ht="36" hidden="true" customHeight="true" outlineLevel="0" collapsed="false">
      <c r="A150" s="76"/>
      <c r="B150" s="69" t="s">
        <v>156</v>
      </c>
      <c r="C150" s="70" t="n">
        <f aca="false">C151</f>
        <v>0</v>
      </c>
      <c r="D150" s="70" t="n">
        <f aca="false">D152</f>
        <v>0</v>
      </c>
      <c r="E150" s="70" t="n">
        <f aca="false">SUM(E151:E152)</f>
        <v>0</v>
      </c>
      <c r="F150" s="70" t="n">
        <f aca="false">SUM(F151:F152)</f>
        <v>0</v>
      </c>
      <c r="G150" s="70" t="n">
        <f aca="false">SUM(G151:G152)</f>
        <v>0</v>
      </c>
      <c r="H150" s="145"/>
      <c r="I150" s="146"/>
      <c r="J150" s="146"/>
      <c r="K150" s="146"/>
      <c r="L150" s="146"/>
      <c r="M150" s="146"/>
      <c r="N150" s="146"/>
      <c r="O150" s="146"/>
      <c r="P150" s="146"/>
      <c r="Q150" s="150"/>
      <c r="R150" s="73" t="n">
        <f aca="false">R151</f>
        <v>1.6</v>
      </c>
      <c r="S150" s="70" t="e">
        <f aca="false">#REF!</f>
        <v>#REF!</v>
      </c>
      <c r="T150" s="70" t="e">
        <f aca="false">T151+#REF!</f>
        <v>#REF!</v>
      </c>
      <c r="U150" s="70" t="e">
        <f aca="false">U151+#REF!</f>
        <v>#REF!</v>
      </c>
      <c r="V150" s="72" t="e">
        <f aca="false">V151+#REF!</f>
        <v>#REF!</v>
      </c>
    </row>
    <row r="151" s="4" customFormat="true" ht="24.75" hidden="true" customHeight="true" outlineLevel="0" collapsed="false">
      <c r="A151" s="76"/>
      <c r="B151" s="77" t="s">
        <v>157</v>
      </c>
      <c r="C151" s="78"/>
      <c r="D151" s="107"/>
      <c r="E151" s="80"/>
      <c r="F151" s="80"/>
      <c r="G151" s="80"/>
      <c r="H151" s="108"/>
      <c r="I151" s="108"/>
      <c r="J151" s="108"/>
      <c r="K151" s="108"/>
      <c r="L151" s="108"/>
      <c r="M151" s="108"/>
      <c r="N151" s="108"/>
      <c r="O151" s="108"/>
      <c r="P151" s="108"/>
      <c r="Q151" s="109"/>
      <c r="R151" s="125" t="n">
        <v>1.6</v>
      </c>
      <c r="S151" s="90"/>
      <c r="T151" s="80" t="n">
        <v>40000</v>
      </c>
      <c r="U151" s="159" t="n">
        <f aca="false">T151*0.94</f>
        <v>37600</v>
      </c>
      <c r="V151" s="84" t="n">
        <f aca="false">T151-U151</f>
        <v>2400</v>
      </c>
    </row>
    <row r="152" s="4" customFormat="true" ht="42" hidden="true" customHeight="true" outlineLevel="0" collapsed="false">
      <c r="A152" s="76"/>
      <c r="B152" s="77" t="s">
        <v>158</v>
      </c>
      <c r="C152" s="107"/>
      <c r="D152" s="80"/>
      <c r="E152" s="80"/>
      <c r="F152" s="80"/>
      <c r="G152" s="80"/>
      <c r="H152" s="108"/>
      <c r="I152" s="108"/>
      <c r="J152" s="108"/>
      <c r="K152" s="108"/>
      <c r="L152" s="108"/>
      <c r="M152" s="108"/>
      <c r="N152" s="108"/>
      <c r="O152" s="108"/>
      <c r="P152" s="108"/>
      <c r="Q152" s="109"/>
      <c r="R152" s="125"/>
      <c r="S152" s="90"/>
      <c r="T152" s="80"/>
      <c r="U152" s="159"/>
      <c r="V152" s="84"/>
    </row>
    <row r="153" s="4" customFormat="true" ht="23.85" hidden="false" customHeight="true" outlineLevel="0" collapsed="false">
      <c r="A153" s="76"/>
      <c r="B153" s="69" t="s">
        <v>159</v>
      </c>
      <c r="C153" s="70" t="n">
        <f aca="false">SUM(C154:C164)</f>
        <v>8.38</v>
      </c>
      <c r="D153" s="70"/>
      <c r="E153" s="70" t="n">
        <f aca="false">SUM(E154:E164)</f>
        <v>87848.3</v>
      </c>
      <c r="F153" s="70" t="n">
        <f aca="false">SUM(F154:F164)</f>
        <v>83455.9</v>
      </c>
      <c r="G153" s="70" t="n">
        <f aca="false">SUM(G154:G164)</f>
        <v>4392.4</v>
      </c>
      <c r="H153" s="145"/>
      <c r="I153" s="146"/>
      <c r="J153" s="146"/>
      <c r="K153" s="146"/>
      <c r="L153" s="146"/>
      <c r="M153" s="146"/>
      <c r="N153" s="146"/>
      <c r="O153" s="146"/>
      <c r="P153" s="146"/>
      <c r="Q153" s="150"/>
      <c r="R153" s="73" t="n">
        <f aca="false">R154</f>
        <v>2.914</v>
      </c>
      <c r="S153" s="70"/>
      <c r="T153" s="70" t="n">
        <f aca="false">T154</f>
        <v>40000</v>
      </c>
      <c r="U153" s="70" t="n">
        <f aca="false">U154</f>
        <v>38000</v>
      </c>
      <c r="V153" s="72" t="n">
        <f aca="false">V154</f>
        <v>2000</v>
      </c>
      <c r="W153" s="160" t="e">
        <f aca="false">O153+#REF!</f>
        <v>#REF!</v>
      </c>
    </row>
    <row r="154" s="4" customFormat="true" ht="27" hidden="false" customHeight="true" outlineLevel="0" collapsed="false">
      <c r="A154" s="76" t="n">
        <v>104</v>
      </c>
      <c r="B154" s="77" t="s">
        <v>160</v>
      </c>
      <c r="C154" s="78" t="n">
        <v>0.79</v>
      </c>
      <c r="D154" s="79"/>
      <c r="E154" s="80" t="n">
        <v>13951</v>
      </c>
      <c r="F154" s="80" t="n">
        <f aca="false">E154*0.95-0.05</f>
        <v>13253.4</v>
      </c>
      <c r="G154" s="80" t="n">
        <f aca="false">E154-F154</f>
        <v>697.6</v>
      </c>
      <c r="H154" s="154"/>
      <c r="I154" s="161"/>
      <c r="J154" s="161"/>
      <c r="K154" s="161"/>
      <c r="L154" s="161"/>
      <c r="M154" s="161"/>
      <c r="N154" s="161"/>
      <c r="O154" s="161"/>
      <c r="P154" s="161"/>
      <c r="Q154" s="162"/>
      <c r="R154" s="125" t="n">
        <f aca="false">1.439+1.475</f>
        <v>2.914</v>
      </c>
      <c r="S154" s="115"/>
      <c r="T154" s="80" t="n">
        <v>40000</v>
      </c>
      <c r="U154" s="159" t="n">
        <f aca="false">T154*0.95</f>
        <v>38000</v>
      </c>
      <c r="V154" s="84" t="n">
        <f aca="false">T154-U154</f>
        <v>2000</v>
      </c>
      <c r="W154" s="160" t="e">
        <f aca="false">P153+#REF!</f>
        <v>#REF!</v>
      </c>
    </row>
    <row r="155" s="4" customFormat="true" ht="27" hidden="false" customHeight="true" outlineLevel="0" collapsed="false">
      <c r="A155" s="76" t="n">
        <v>105</v>
      </c>
      <c r="B155" s="77" t="s">
        <v>161</v>
      </c>
      <c r="C155" s="78" t="n">
        <v>0.29</v>
      </c>
      <c r="D155" s="79"/>
      <c r="E155" s="80" t="n">
        <v>10331</v>
      </c>
      <c r="F155" s="80" t="n">
        <f aca="false">E155*0.95+0.05</f>
        <v>9814.5</v>
      </c>
      <c r="G155" s="80" t="n">
        <f aca="false">E155-F155</f>
        <v>516.500000000002</v>
      </c>
      <c r="H155" s="154"/>
      <c r="I155" s="161"/>
      <c r="J155" s="161"/>
      <c r="K155" s="161"/>
      <c r="L155" s="161"/>
      <c r="M155" s="161"/>
      <c r="N155" s="161"/>
      <c r="O155" s="161"/>
      <c r="P155" s="161"/>
      <c r="Q155" s="162"/>
      <c r="R155" s="125"/>
      <c r="S155" s="115"/>
      <c r="T155" s="80"/>
      <c r="U155" s="159"/>
      <c r="V155" s="84"/>
      <c r="W155" s="160"/>
    </row>
    <row r="156" s="4" customFormat="true" ht="27" hidden="false" customHeight="true" outlineLevel="0" collapsed="false">
      <c r="A156" s="76" t="n">
        <v>106</v>
      </c>
      <c r="B156" s="77" t="s">
        <v>162</v>
      </c>
      <c r="C156" s="78" t="n">
        <v>0.515</v>
      </c>
      <c r="D156" s="79"/>
      <c r="E156" s="80" t="n">
        <v>5928.4</v>
      </c>
      <c r="F156" s="80" t="n">
        <f aca="false">E156*0.95+0.02</f>
        <v>5632</v>
      </c>
      <c r="G156" s="80" t="n">
        <f aca="false">E156-F156</f>
        <v>296.4</v>
      </c>
      <c r="H156" s="154"/>
      <c r="I156" s="161"/>
      <c r="J156" s="161"/>
      <c r="K156" s="161"/>
      <c r="L156" s="161"/>
      <c r="M156" s="161"/>
      <c r="N156" s="161"/>
      <c r="O156" s="161"/>
      <c r="P156" s="161"/>
      <c r="Q156" s="162"/>
      <c r="R156" s="125"/>
      <c r="S156" s="115"/>
      <c r="T156" s="80"/>
      <c r="U156" s="159"/>
      <c r="V156" s="84"/>
      <c r="W156" s="160"/>
    </row>
    <row r="157" s="4" customFormat="true" ht="27" hidden="false" customHeight="true" outlineLevel="0" collapsed="false">
      <c r="A157" s="76" t="n">
        <v>107</v>
      </c>
      <c r="B157" s="77" t="s">
        <v>163</v>
      </c>
      <c r="C157" s="78" t="n">
        <v>1.66</v>
      </c>
      <c r="D157" s="79"/>
      <c r="E157" s="80" t="n">
        <v>7546.4</v>
      </c>
      <c r="F157" s="80" t="n">
        <f aca="false">E157*0.95+0.02</f>
        <v>7169.1</v>
      </c>
      <c r="G157" s="80" t="n">
        <f aca="false">E157-F157</f>
        <v>377.3</v>
      </c>
      <c r="H157" s="154"/>
      <c r="I157" s="161"/>
      <c r="J157" s="161"/>
      <c r="K157" s="161"/>
      <c r="L157" s="161"/>
      <c r="M157" s="161"/>
      <c r="N157" s="161"/>
      <c r="O157" s="161"/>
      <c r="P157" s="161"/>
      <c r="Q157" s="162"/>
      <c r="R157" s="125"/>
      <c r="S157" s="115"/>
      <c r="T157" s="80"/>
      <c r="U157" s="159"/>
      <c r="V157" s="84"/>
      <c r="W157" s="160"/>
    </row>
    <row r="158" s="4" customFormat="true" ht="27" hidden="false" customHeight="true" outlineLevel="0" collapsed="false">
      <c r="A158" s="76" t="n">
        <v>108</v>
      </c>
      <c r="B158" s="77" t="s">
        <v>164</v>
      </c>
      <c r="C158" s="78" t="n">
        <v>0.59</v>
      </c>
      <c r="D158" s="79"/>
      <c r="E158" s="80" t="n">
        <v>5804.4</v>
      </c>
      <c r="F158" s="80" t="n">
        <f aca="false">E158*0.95+0.02</f>
        <v>5514.2</v>
      </c>
      <c r="G158" s="80" t="n">
        <f aca="false">E158-F158</f>
        <v>290.2</v>
      </c>
      <c r="H158" s="154"/>
      <c r="I158" s="161"/>
      <c r="J158" s="161"/>
      <c r="K158" s="161"/>
      <c r="L158" s="161"/>
      <c r="M158" s="161"/>
      <c r="N158" s="161"/>
      <c r="O158" s="161"/>
      <c r="P158" s="161"/>
      <c r="Q158" s="162"/>
      <c r="R158" s="125"/>
      <c r="S158" s="115"/>
      <c r="T158" s="80"/>
      <c r="U158" s="159"/>
      <c r="V158" s="84"/>
      <c r="W158" s="160"/>
    </row>
    <row r="159" s="4" customFormat="true" ht="27" hidden="false" customHeight="true" outlineLevel="0" collapsed="false">
      <c r="A159" s="76" t="n">
        <v>109</v>
      </c>
      <c r="B159" s="77" t="s">
        <v>165</v>
      </c>
      <c r="C159" s="78" t="n">
        <v>1.95</v>
      </c>
      <c r="D159" s="79"/>
      <c r="E159" s="80" t="n">
        <v>17428.4</v>
      </c>
      <c r="F159" s="80" t="n">
        <f aca="false">E159*0.95+0.02</f>
        <v>16557</v>
      </c>
      <c r="G159" s="80" t="n">
        <f aca="false">E159-F159</f>
        <v>871.400000000002</v>
      </c>
      <c r="H159" s="154"/>
      <c r="I159" s="161"/>
      <c r="J159" s="161"/>
      <c r="K159" s="161"/>
      <c r="L159" s="161"/>
      <c r="M159" s="161"/>
      <c r="N159" s="161"/>
      <c r="O159" s="161"/>
      <c r="P159" s="161"/>
      <c r="Q159" s="162"/>
      <c r="R159" s="125"/>
      <c r="S159" s="115"/>
      <c r="T159" s="80"/>
      <c r="U159" s="159"/>
      <c r="V159" s="84"/>
      <c r="W159" s="160"/>
    </row>
    <row r="160" s="4" customFormat="true" ht="27" hidden="false" customHeight="true" outlineLevel="0" collapsed="false">
      <c r="A160" s="76" t="n">
        <v>110</v>
      </c>
      <c r="B160" s="77" t="s">
        <v>166</v>
      </c>
      <c r="C160" s="78" t="n">
        <v>0.26</v>
      </c>
      <c r="D160" s="79"/>
      <c r="E160" s="80" t="n">
        <v>2361.6</v>
      </c>
      <c r="F160" s="80" t="n">
        <f aca="false">E160*0.95-0.02</f>
        <v>2243.5</v>
      </c>
      <c r="G160" s="80" t="n">
        <f aca="false">E160-F160</f>
        <v>118.1</v>
      </c>
      <c r="H160" s="154"/>
      <c r="I160" s="161"/>
      <c r="J160" s="161"/>
      <c r="K160" s="161"/>
      <c r="L160" s="161"/>
      <c r="M160" s="161"/>
      <c r="N160" s="161"/>
      <c r="O160" s="161"/>
      <c r="P160" s="161"/>
      <c r="Q160" s="162"/>
      <c r="R160" s="125"/>
      <c r="S160" s="115"/>
      <c r="T160" s="80"/>
      <c r="U160" s="159"/>
      <c r="V160" s="84"/>
      <c r="W160" s="160"/>
    </row>
    <row r="161" s="4" customFormat="true" ht="23.85" hidden="false" customHeight="true" outlineLevel="0" collapsed="false">
      <c r="A161" s="76" t="n">
        <v>111</v>
      </c>
      <c r="B161" s="77" t="s">
        <v>167</v>
      </c>
      <c r="C161" s="78" t="n">
        <v>0.07</v>
      </c>
      <c r="D161" s="79"/>
      <c r="E161" s="80" t="n">
        <v>769.2</v>
      </c>
      <c r="F161" s="80" t="n">
        <f aca="false">E161*0.95-0.04</f>
        <v>730.7</v>
      </c>
      <c r="G161" s="80" t="n">
        <f aca="false">E161-F161</f>
        <v>38.5</v>
      </c>
      <c r="H161" s="154"/>
      <c r="I161" s="161"/>
      <c r="J161" s="161"/>
      <c r="K161" s="161"/>
      <c r="L161" s="161"/>
      <c r="M161" s="161"/>
      <c r="N161" s="161"/>
      <c r="O161" s="161"/>
      <c r="P161" s="161"/>
      <c r="Q161" s="162"/>
      <c r="R161" s="125"/>
      <c r="S161" s="115"/>
      <c r="T161" s="80"/>
      <c r="U161" s="159"/>
      <c r="V161" s="84"/>
      <c r="W161" s="160"/>
    </row>
    <row r="162" s="4" customFormat="true" ht="27" hidden="false" customHeight="true" outlineLevel="0" collapsed="false">
      <c r="A162" s="76" t="n">
        <v>112</v>
      </c>
      <c r="B162" s="77" t="s">
        <v>168</v>
      </c>
      <c r="C162" s="78" t="n">
        <v>0.4</v>
      </c>
      <c r="D162" s="79"/>
      <c r="E162" s="80" t="n">
        <v>3501.4</v>
      </c>
      <c r="F162" s="80" t="n">
        <f aca="false">E162*0.95+0.07</f>
        <v>3326.4</v>
      </c>
      <c r="G162" s="80" t="n">
        <f aca="false">E162-F162</f>
        <v>175</v>
      </c>
      <c r="H162" s="154"/>
      <c r="I162" s="161"/>
      <c r="J162" s="161"/>
      <c r="K162" s="161"/>
      <c r="L162" s="161"/>
      <c r="M162" s="161"/>
      <c r="N162" s="161"/>
      <c r="O162" s="161"/>
      <c r="P162" s="161"/>
      <c r="Q162" s="162"/>
      <c r="R162" s="125"/>
      <c r="S162" s="115"/>
      <c r="T162" s="80"/>
      <c r="U162" s="159"/>
      <c r="V162" s="84"/>
      <c r="W162" s="160"/>
      <c r="X162" s="4" t="s">
        <v>108</v>
      </c>
    </row>
    <row r="163" s="4" customFormat="true" ht="23.85" hidden="false" customHeight="true" outlineLevel="0" collapsed="false">
      <c r="A163" s="76" t="n">
        <v>113</v>
      </c>
      <c r="B163" s="77" t="s">
        <v>169</v>
      </c>
      <c r="C163" s="78" t="n">
        <v>0.63</v>
      </c>
      <c r="D163" s="79"/>
      <c r="E163" s="80" t="n">
        <v>9978.2</v>
      </c>
      <c r="F163" s="80" t="n">
        <f aca="false">E163*0.95-0.09</f>
        <v>9479.2</v>
      </c>
      <c r="G163" s="80" t="n">
        <f aca="false">E163-F163</f>
        <v>499</v>
      </c>
      <c r="H163" s="154"/>
      <c r="I163" s="161"/>
      <c r="J163" s="161"/>
      <c r="K163" s="161"/>
      <c r="L163" s="161"/>
      <c r="M163" s="161"/>
      <c r="N163" s="161"/>
      <c r="O163" s="161"/>
      <c r="P163" s="161"/>
      <c r="Q163" s="162"/>
      <c r="R163" s="125"/>
      <c r="S163" s="115"/>
      <c r="T163" s="80"/>
      <c r="U163" s="159"/>
      <c r="V163" s="84"/>
      <c r="W163" s="160"/>
    </row>
    <row r="164" s="4" customFormat="true" ht="23.85" hidden="false" customHeight="true" outlineLevel="0" collapsed="false">
      <c r="A164" s="76" t="n">
        <v>114</v>
      </c>
      <c r="B164" s="77" t="s">
        <v>170</v>
      </c>
      <c r="C164" s="78" t="n">
        <v>1.225</v>
      </c>
      <c r="D164" s="79"/>
      <c r="E164" s="80" t="n">
        <v>10248.3</v>
      </c>
      <c r="F164" s="80" t="n">
        <v>9735.9</v>
      </c>
      <c r="G164" s="80" t="n">
        <f aca="false">E164-F164</f>
        <v>512.4</v>
      </c>
      <c r="H164" s="154"/>
      <c r="I164" s="161"/>
      <c r="J164" s="161"/>
      <c r="K164" s="161"/>
      <c r="L164" s="161"/>
      <c r="M164" s="161"/>
      <c r="N164" s="161"/>
      <c r="O164" s="161"/>
      <c r="P164" s="161"/>
      <c r="Q164" s="162"/>
      <c r="R164" s="125"/>
      <c r="S164" s="115"/>
      <c r="T164" s="80"/>
      <c r="U164" s="159"/>
      <c r="V164" s="84"/>
      <c r="W164" s="160"/>
    </row>
    <row r="165" s="4" customFormat="true" ht="32.25" hidden="false" customHeight="true" outlineLevel="0" collapsed="false">
      <c r="A165" s="76"/>
      <c r="B165" s="69" t="s">
        <v>171</v>
      </c>
      <c r="C165" s="70" t="n">
        <f aca="false">C166</f>
        <v>1.207</v>
      </c>
      <c r="D165" s="70"/>
      <c r="E165" s="70" t="n">
        <f aca="false">E166</f>
        <v>40000</v>
      </c>
      <c r="F165" s="70" t="n">
        <f aca="false">F166</f>
        <v>37600</v>
      </c>
      <c r="G165" s="70" t="n">
        <f aca="false">G166</f>
        <v>2400</v>
      </c>
      <c r="H165" s="70"/>
      <c r="I165" s="70"/>
      <c r="J165" s="70"/>
      <c r="K165" s="70"/>
      <c r="L165" s="88"/>
      <c r="M165" s="88" t="n">
        <f aca="false">SUM(M167:M174)</f>
        <v>9.022</v>
      </c>
      <c r="N165" s="88"/>
      <c r="O165" s="70" t="n">
        <f aca="false">SUM(O167:O174)</f>
        <v>143288.5</v>
      </c>
      <c r="P165" s="70" t="n">
        <f aca="false">SUM(P167:P174)</f>
        <v>134691.2</v>
      </c>
      <c r="Q165" s="70" t="n">
        <f aca="false">SUM(Q167:Q174)</f>
        <v>8597.30000000001</v>
      </c>
      <c r="R165" s="73" t="n">
        <f aca="false">R166</f>
        <v>1.6</v>
      </c>
      <c r="S165" s="70"/>
      <c r="T165" s="70" t="n">
        <f aca="false">T166</f>
        <v>40000</v>
      </c>
      <c r="U165" s="70" t="n">
        <f aca="false">U166</f>
        <v>37600</v>
      </c>
      <c r="V165" s="72" t="n">
        <f aca="false">V166</f>
        <v>2400</v>
      </c>
    </row>
    <row r="166" s="4" customFormat="true" ht="27" hidden="false" customHeight="true" outlineLevel="0" collapsed="false">
      <c r="A166" s="76" t="n">
        <v>115</v>
      </c>
      <c r="B166" s="77" t="s">
        <v>172</v>
      </c>
      <c r="C166" s="78" t="n">
        <v>1.207</v>
      </c>
      <c r="D166" s="80"/>
      <c r="E166" s="80" t="n">
        <v>40000</v>
      </c>
      <c r="F166" s="80" t="n">
        <v>37600</v>
      </c>
      <c r="G166" s="80" t="n">
        <v>2400</v>
      </c>
      <c r="H166" s="70"/>
      <c r="I166" s="70"/>
      <c r="J166" s="70"/>
      <c r="K166" s="70"/>
      <c r="L166" s="88"/>
      <c r="M166" s="88"/>
      <c r="N166" s="88"/>
      <c r="O166" s="70"/>
      <c r="P166" s="70"/>
      <c r="Q166" s="72"/>
      <c r="R166" s="125" t="n">
        <v>1.6</v>
      </c>
      <c r="S166" s="85"/>
      <c r="T166" s="80" t="n">
        <v>40000</v>
      </c>
      <c r="U166" s="81" t="n">
        <f aca="false">T166*0.94</f>
        <v>37600</v>
      </c>
      <c r="V166" s="84" t="n">
        <f aca="false">T166-U166</f>
        <v>2400</v>
      </c>
      <c r="Z166" s="4" t="s">
        <v>108</v>
      </c>
    </row>
    <row r="167" s="4" customFormat="true" ht="27" hidden="false" customHeight="true" outlineLevel="0" collapsed="false">
      <c r="A167" s="76" t="n">
        <v>116</v>
      </c>
      <c r="B167" s="77" t="s">
        <v>173</v>
      </c>
      <c r="C167" s="78"/>
      <c r="D167" s="80"/>
      <c r="E167" s="80"/>
      <c r="F167" s="80"/>
      <c r="G167" s="80"/>
      <c r="H167" s="70"/>
      <c r="I167" s="70"/>
      <c r="J167" s="70"/>
      <c r="K167" s="70"/>
      <c r="L167" s="88"/>
      <c r="M167" s="78" t="n">
        <v>1.752</v>
      </c>
      <c r="N167" s="78"/>
      <c r="O167" s="80" t="n">
        <v>23504.47</v>
      </c>
      <c r="P167" s="80" t="n">
        <f aca="false">O167*0.94</f>
        <v>22094.2018</v>
      </c>
      <c r="Q167" s="84" t="n">
        <f aca="false">O167-P167</f>
        <v>1410.2682</v>
      </c>
      <c r="R167" s="125"/>
      <c r="S167" s="85"/>
      <c r="T167" s="80"/>
      <c r="U167" s="81"/>
      <c r="V167" s="84"/>
    </row>
    <row r="168" s="4" customFormat="true" ht="27" hidden="false" customHeight="true" outlineLevel="0" collapsed="false">
      <c r="A168" s="76" t="n">
        <v>117</v>
      </c>
      <c r="B168" s="77" t="s">
        <v>174</v>
      </c>
      <c r="C168" s="78"/>
      <c r="D168" s="80"/>
      <c r="E168" s="80"/>
      <c r="F168" s="80"/>
      <c r="G168" s="80"/>
      <c r="H168" s="70"/>
      <c r="I168" s="70"/>
      <c r="J168" s="70"/>
      <c r="K168" s="70"/>
      <c r="L168" s="88"/>
      <c r="M168" s="78" t="n">
        <v>1.3</v>
      </c>
      <c r="N168" s="88"/>
      <c r="O168" s="80" t="n">
        <v>19487</v>
      </c>
      <c r="P168" s="80" t="n">
        <f aca="false">O168*0.94</f>
        <v>18317.78</v>
      </c>
      <c r="Q168" s="84" t="n">
        <f aca="false">O168-P168</f>
        <v>1169.22</v>
      </c>
      <c r="R168" s="125"/>
      <c r="S168" s="85"/>
      <c r="T168" s="80"/>
      <c r="U168" s="81"/>
      <c r="V168" s="84"/>
    </row>
    <row r="169" s="4" customFormat="true" ht="27" hidden="false" customHeight="true" outlineLevel="0" collapsed="false">
      <c r="A169" s="76" t="n">
        <v>118</v>
      </c>
      <c r="B169" s="77" t="s">
        <v>175</v>
      </c>
      <c r="C169" s="78"/>
      <c r="D169" s="80"/>
      <c r="E169" s="80"/>
      <c r="F169" s="80"/>
      <c r="G169" s="80"/>
      <c r="H169" s="70"/>
      <c r="I169" s="70"/>
      <c r="J169" s="70"/>
      <c r="K169" s="70"/>
      <c r="L169" s="88"/>
      <c r="M169" s="78" t="n">
        <v>0.81</v>
      </c>
      <c r="N169" s="88"/>
      <c r="O169" s="80" t="n">
        <v>15903.17</v>
      </c>
      <c r="P169" s="80" t="n">
        <f aca="false">O169*0.94</f>
        <v>14948.9798</v>
      </c>
      <c r="Q169" s="84" t="n">
        <f aca="false">O169-P169</f>
        <v>954.190200000001</v>
      </c>
      <c r="R169" s="125"/>
      <c r="S169" s="85"/>
      <c r="T169" s="80"/>
      <c r="U169" s="81"/>
      <c r="V169" s="84"/>
    </row>
    <row r="170" s="4" customFormat="true" ht="41.25" hidden="false" customHeight="true" outlineLevel="0" collapsed="false">
      <c r="A170" s="76" t="n">
        <v>119</v>
      </c>
      <c r="B170" s="77" t="s">
        <v>176</v>
      </c>
      <c r="C170" s="78"/>
      <c r="D170" s="80"/>
      <c r="E170" s="80"/>
      <c r="F170" s="80"/>
      <c r="G170" s="80"/>
      <c r="H170" s="70"/>
      <c r="I170" s="70"/>
      <c r="J170" s="70"/>
      <c r="K170" s="70"/>
      <c r="L170" s="88"/>
      <c r="M170" s="78" t="n">
        <v>1.8</v>
      </c>
      <c r="N170" s="88"/>
      <c r="O170" s="80" t="n">
        <f aca="false">24996.102-0.512</f>
        <v>24995.59</v>
      </c>
      <c r="P170" s="163" t="n">
        <f aca="false">O170*0.94+0.01</f>
        <v>23495.8646</v>
      </c>
      <c r="Q170" s="164" t="n">
        <f aca="false">O170-P170</f>
        <v>1499.7254</v>
      </c>
      <c r="R170" s="125"/>
      <c r="S170" s="85"/>
      <c r="T170" s="80"/>
      <c r="U170" s="81"/>
      <c r="V170" s="84"/>
    </row>
    <row r="171" s="4" customFormat="true" ht="44.25" hidden="false" customHeight="true" outlineLevel="0" collapsed="false">
      <c r="A171" s="76" t="n">
        <v>120</v>
      </c>
      <c r="B171" s="77" t="s">
        <v>177</v>
      </c>
      <c r="C171" s="78"/>
      <c r="D171" s="80"/>
      <c r="E171" s="80"/>
      <c r="F171" s="80"/>
      <c r="G171" s="80"/>
      <c r="H171" s="70"/>
      <c r="I171" s="70"/>
      <c r="J171" s="70"/>
      <c r="K171" s="70"/>
      <c r="L171" s="88"/>
      <c r="M171" s="78" t="n">
        <v>0.88</v>
      </c>
      <c r="N171" s="88"/>
      <c r="O171" s="80" t="n">
        <v>8833.34</v>
      </c>
      <c r="P171" s="80" t="n">
        <f aca="false">O171*0.94</f>
        <v>8303.3396</v>
      </c>
      <c r="Q171" s="84" t="n">
        <f aca="false">O171-P171</f>
        <v>530.000400000001</v>
      </c>
      <c r="R171" s="125"/>
      <c r="S171" s="85"/>
      <c r="T171" s="80"/>
      <c r="U171" s="81"/>
      <c r="V171" s="84"/>
    </row>
    <row r="172" s="4" customFormat="true" ht="27" hidden="false" customHeight="true" outlineLevel="0" collapsed="false">
      <c r="A172" s="76" t="n">
        <v>121</v>
      </c>
      <c r="B172" s="77" t="s">
        <v>178</v>
      </c>
      <c r="C172" s="78"/>
      <c r="D172" s="80"/>
      <c r="E172" s="80"/>
      <c r="F172" s="80"/>
      <c r="G172" s="80"/>
      <c r="H172" s="70"/>
      <c r="I172" s="70"/>
      <c r="J172" s="70"/>
      <c r="K172" s="70"/>
      <c r="L172" s="88"/>
      <c r="M172" s="78" t="n">
        <v>0.32</v>
      </c>
      <c r="N172" s="88"/>
      <c r="O172" s="80" t="n">
        <v>7716.35</v>
      </c>
      <c r="P172" s="80" t="n">
        <f aca="false">O172*0.94</f>
        <v>7253.369</v>
      </c>
      <c r="Q172" s="84" t="n">
        <f aca="false">O172-P172</f>
        <v>462.981000000001</v>
      </c>
      <c r="R172" s="125"/>
      <c r="S172" s="85"/>
      <c r="T172" s="80"/>
      <c r="U172" s="81"/>
      <c r="V172" s="84"/>
    </row>
    <row r="173" s="4" customFormat="true" ht="27" hidden="false" customHeight="true" outlineLevel="0" collapsed="false">
      <c r="A173" s="76" t="n">
        <v>122</v>
      </c>
      <c r="B173" s="77" t="s">
        <v>179</v>
      </c>
      <c r="C173" s="78"/>
      <c r="D173" s="80"/>
      <c r="E173" s="80"/>
      <c r="F173" s="80"/>
      <c r="G173" s="80"/>
      <c r="H173" s="70"/>
      <c r="I173" s="70"/>
      <c r="J173" s="70"/>
      <c r="K173" s="70"/>
      <c r="L173" s="88"/>
      <c r="M173" s="78" t="n">
        <v>1.01</v>
      </c>
      <c r="N173" s="88"/>
      <c r="O173" s="80" t="n">
        <v>13801.32</v>
      </c>
      <c r="P173" s="80" t="n">
        <f aca="false">O173*0.94</f>
        <v>12973.2408</v>
      </c>
      <c r="Q173" s="84" t="n">
        <f aca="false">O173-P173</f>
        <v>828.0792</v>
      </c>
      <c r="R173" s="125"/>
      <c r="S173" s="85"/>
      <c r="T173" s="80"/>
      <c r="U173" s="81"/>
      <c r="V173" s="84"/>
    </row>
    <row r="174" s="4" customFormat="true" ht="32.25" hidden="false" customHeight="true" outlineLevel="0" collapsed="false">
      <c r="A174" s="76" t="n">
        <v>123</v>
      </c>
      <c r="B174" s="77" t="s">
        <v>180</v>
      </c>
      <c r="C174" s="78"/>
      <c r="D174" s="80"/>
      <c r="E174" s="80"/>
      <c r="F174" s="80"/>
      <c r="G174" s="80"/>
      <c r="H174" s="70"/>
      <c r="I174" s="70"/>
      <c r="J174" s="70"/>
      <c r="K174" s="70"/>
      <c r="L174" s="88"/>
      <c r="M174" s="78" t="n">
        <v>1.15</v>
      </c>
      <c r="N174" s="88"/>
      <c r="O174" s="78" t="n">
        <v>29047.26</v>
      </c>
      <c r="P174" s="80" t="n">
        <f aca="false">O174*0.94</f>
        <v>27304.4244</v>
      </c>
      <c r="Q174" s="84" t="n">
        <f aca="false">O174-P174</f>
        <v>1742.8356</v>
      </c>
      <c r="R174" s="125"/>
      <c r="S174" s="85"/>
      <c r="T174" s="80"/>
      <c r="U174" s="81"/>
      <c r="V174" s="84"/>
    </row>
    <row r="175" s="4" customFormat="true" ht="30" hidden="true" customHeight="true" outlineLevel="0" collapsed="false">
      <c r="A175" s="76"/>
      <c r="B175" s="77"/>
      <c r="C175" s="78"/>
      <c r="D175" s="80"/>
      <c r="E175" s="80"/>
      <c r="F175" s="80"/>
      <c r="G175" s="80"/>
      <c r="H175" s="70"/>
      <c r="I175" s="70"/>
      <c r="J175" s="70"/>
      <c r="K175" s="70"/>
      <c r="L175" s="88"/>
      <c r="M175" s="88"/>
      <c r="N175" s="88"/>
      <c r="O175" s="88"/>
      <c r="P175" s="88"/>
      <c r="Q175" s="158"/>
      <c r="R175" s="125"/>
      <c r="S175" s="85"/>
      <c r="T175" s="80"/>
      <c r="U175" s="81"/>
      <c r="V175" s="84"/>
      <c r="AB175" s="4" t="s">
        <v>23</v>
      </c>
    </row>
    <row r="176" s="4" customFormat="true" ht="27" hidden="true" customHeight="true" outlineLevel="0" collapsed="false">
      <c r="A176" s="76"/>
      <c r="B176" s="69" t="s">
        <v>181</v>
      </c>
      <c r="C176" s="67"/>
      <c r="D176" s="67"/>
      <c r="E176" s="67"/>
      <c r="F176" s="67"/>
      <c r="G176" s="67"/>
      <c r="H176" s="145"/>
      <c r="I176" s="67"/>
      <c r="J176" s="67"/>
      <c r="K176" s="67"/>
      <c r="L176" s="67"/>
      <c r="M176" s="67"/>
      <c r="N176" s="67"/>
      <c r="O176" s="67"/>
      <c r="P176" s="67"/>
      <c r="Q176" s="132"/>
      <c r="R176" s="90"/>
      <c r="S176" s="90"/>
      <c r="T176" s="108"/>
      <c r="U176" s="110"/>
      <c r="V176" s="63"/>
    </row>
    <row r="177" s="4" customFormat="true" ht="27" hidden="true" customHeight="true" outlineLevel="0" collapsed="false">
      <c r="A177" s="76"/>
      <c r="B177" s="69"/>
      <c r="C177" s="67"/>
      <c r="D177" s="67"/>
      <c r="E177" s="67"/>
      <c r="F177" s="67"/>
      <c r="G177" s="67"/>
      <c r="H177" s="145"/>
      <c r="I177" s="67"/>
      <c r="J177" s="67"/>
      <c r="K177" s="67"/>
      <c r="L177" s="67"/>
      <c r="M177" s="67"/>
      <c r="N177" s="67"/>
      <c r="O177" s="67"/>
      <c r="P177" s="67"/>
      <c r="Q177" s="132"/>
      <c r="R177" s="90"/>
      <c r="S177" s="90"/>
      <c r="T177" s="108"/>
      <c r="U177" s="110"/>
      <c r="V177" s="63"/>
    </row>
    <row r="178" s="4" customFormat="true" ht="27.75" hidden="false" customHeight="true" outlineLevel="0" collapsed="false">
      <c r="A178" s="76"/>
      <c r="B178" s="69" t="s">
        <v>182</v>
      </c>
      <c r="C178" s="70" t="n">
        <f aca="false">C179+C180+C181+C182</f>
        <v>19.718</v>
      </c>
      <c r="D178" s="70"/>
      <c r="E178" s="70" t="n">
        <f aca="false">SUM(E179:E182)</f>
        <v>406351.12903</v>
      </c>
      <c r="F178" s="70" t="n">
        <f aca="false">SUM(F179:F182)</f>
        <v>377906.5</v>
      </c>
      <c r="G178" s="70" t="n">
        <f aca="false">SUM(G179:G182)</f>
        <v>28444.62903</v>
      </c>
      <c r="H178" s="70" t="n">
        <f aca="false">H183+H185</f>
        <v>13.208</v>
      </c>
      <c r="I178" s="70"/>
      <c r="J178" s="70" t="n">
        <f aca="false">J183+J185</f>
        <v>183387.2</v>
      </c>
      <c r="K178" s="70" t="n">
        <f aca="false">K183+K185</f>
        <v>170550.1</v>
      </c>
      <c r="L178" s="70" t="n">
        <f aca="false">L183+L185</f>
        <v>12837.1</v>
      </c>
      <c r="M178" s="70"/>
      <c r="N178" s="70"/>
      <c r="O178" s="70"/>
      <c r="P178" s="70"/>
      <c r="Q178" s="72"/>
      <c r="R178" s="73" t="e">
        <f aca="false">#REF!+#REF!</f>
        <v>#REF!</v>
      </c>
      <c r="S178" s="70"/>
      <c r="T178" s="70" t="e">
        <f aca="false">#REF!+#REF!</f>
        <v>#REF!</v>
      </c>
      <c r="U178" s="70" t="e">
        <f aca="false">#REF!+#REF!</f>
        <v>#REF!</v>
      </c>
      <c r="V178" s="72" t="e">
        <f aca="false">#REF!+#REF!</f>
        <v>#REF!</v>
      </c>
      <c r="X178" s="4" t="s">
        <v>183</v>
      </c>
    </row>
    <row r="179" s="4" customFormat="true" ht="30.75" hidden="false" customHeight="true" outlineLevel="0" collapsed="false">
      <c r="A179" s="76" t="n">
        <v>124</v>
      </c>
      <c r="B179" s="121" t="s">
        <v>184</v>
      </c>
      <c r="C179" s="78" t="n">
        <v>13.448</v>
      </c>
      <c r="D179" s="107"/>
      <c r="E179" s="80" t="n">
        <v>275135</v>
      </c>
      <c r="F179" s="80" t="n">
        <v>255875.5</v>
      </c>
      <c r="G179" s="80" t="n">
        <f aca="false">E179-F179</f>
        <v>19259.5</v>
      </c>
      <c r="H179" s="108"/>
      <c r="I179" s="108"/>
      <c r="J179" s="108"/>
      <c r="K179" s="108"/>
      <c r="L179" s="108"/>
      <c r="M179" s="108"/>
      <c r="N179" s="108"/>
      <c r="O179" s="108"/>
      <c r="P179" s="108"/>
      <c r="Q179" s="109"/>
      <c r="R179" s="90"/>
      <c r="S179" s="90"/>
      <c r="T179" s="108"/>
      <c r="U179" s="110"/>
      <c r="V179" s="63"/>
    </row>
    <row r="180" s="4" customFormat="true" ht="27" hidden="false" customHeight="true" outlineLevel="0" collapsed="false">
      <c r="A180" s="76" t="n">
        <v>125</v>
      </c>
      <c r="B180" s="121" t="s">
        <v>185</v>
      </c>
      <c r="C180" s="78" t="n">
        <v>5.325</v>
      </c>
      <c r="D180" s="107"/>
      <c r="E180" s="80" t="n">
        <v>66700</v>
      </c>
      <c r="F180" s="80" t="n">
        <v>62031</v>
      </c>
      <c r="G180" s="80" t="n">
        <f aca="false">E180-F180</f>
        <v>4669</v>
      </c>
      <c r="H180" s="108"/>
      <c r="I180" s="108"/>
      <c r="J180" s="108"/>
      <c r="K180" s="108"/>
      <c r="L180" s="108"/>
      <c r="M180" s="108"/>
      <c r="N180" s="108"/>
      <c r="O180" s="108"/>
      <c r="P180" s="108"/>
      <c r="Q180" s="109"/>
      <c r="R180" s="90"/>
      <c r="S180" s="90"/>
      <c r="T180" s="108"/>
      <c r="U180" s="110"/>
      <c r="V180" s="63"/>
    </row>
    <row r="181" s="4" customFormat="true" ht="27.75" hidden="false" customHeight="true" outlineLevel="0" collapsed="false">
      <c r="A181" s="76" t="n">
        <v>126</v>
      </c>
      <c r="B181" s="77" t="s">
        <v>186</v>
      </c>
      <c r="C181" s="78" t="n">
        <v>0.801</v>
      </c>
      <c r="D181" s="107"/>
      <c r="E181" s="80" t="n">
        <v>44604.71238</v>
      </c>
      <c r="F181" s="80" t="n">
        <f aca="false">E181*0.93</f>
        <v>41482.3825134</v>
      </c>
      <c r="G181" s="80" t="n">
        <f aca="false">E181-F181</f>
        <v>3122.3298666</v>
      </c>
      <c r="H181" s="108"/>
      <c r="I181" s="108"/>
      <c r="J181" s="108"/>
      <c r="K181" s="108"/>
      <c r="L181" s="108"/>
      <c r="M181" s="108"/>
      <c r="N181" s="108"/>
      <c r="O181" s="108"/>
      <c r="P181" s="108"/>
      <c r="Q181" s="109"/>
      <c r="R181" s="90"/>
      <c r="S181" s="90"/>
      <c r="T181" s="108"/>
      <c r="U181" s="110"/>
      <c r="V181" s="63"/>
      <c r="W181" s="165" t="n">
        <f aca="false">F181/E181*100</f>
        <v>93</v>
      </c>
    </row>
    <row r="182" s="4" customFormat="true" ht="49.5" hidden="false" customHeight="true" outlineLevel="0" collapsed="false">
      <c r="A182" s="49" t="n">
        <v>127</v>
      </c>
      <c r="B182" s="77" t="s">
        <v>187</v>
      </c>
      <c r="C182" s="78" t="n">
        <v>0.144</v>
      </c>
      <c r="D182" s="107"/>
      <c r="E182" s="80" t="n">
        <v>19911.41665</v>
      </c>
      <c r="F182" s="80" t="n">
        <f aca="false">60000-F181</f>
        <v>18517.6174866</v>
      </c>
      <c r="G182" s="80" t="n">
        <f aca="false">E182-F182</f>
        <v>1393.7991634</v>
      </c>
      <c r="H182" s="108"/>
      <c r="I182" s="108"/>
      <c r="J182" s="108"/>
      <c r="K182" s="108"/>
      <c r="L182" s="108"/>
      <c r="M182" s="108"/>
      <c r="N182" s="108"/>
      <c r="O182" s="108"/>
      <c r="P182" s="108"/>
      <c r="Q182" s="109"/>
      <c r="R182" s="90"/>
      <c r="S182" s="90"/>
      <c r="T182" s="108"/>
      <c r="U182" s="110"/>
      <c r="V182" s="63"/>
      <c r="W182" s="165" t="n">
        <f aca="false">F182/E182*100</f>
        <v>93.0000000105467</v>
      </c>
    </row>
    <row r="183" s="4" customFormat="true" ht="45" hidden="false" customHeight="true" outlineLevel="0" collapsed="false">
      <c r="A183" s="49" t="n">
        <v>128</v>
      </c>
      <c r="B183" s="77" t="s">
        <v>188</v>
      </c>
      <c r="C183" s="78"/>
      <c r="D183" s="107"/>
      <c r="E183" s="80"/>
      <c r="F183" s="80"/>
      <c r="G183" s="80"/>
      <c r="H183" s="78" t="n">
        <f aca="false">0.816+0.192+0.1</f>
        <v>1.108</v>
      </c>
      <c r="I183" s="70"/>
      <c r="J183" s="80" t="n">
        <v>22096.9</v>
      </c>
      <c r="K183" s="80" t="n">
        <v>20550.1</v>
      </c>
      <c r="L183" s="80" t="n">
        <f aca="false">J183-K183</f>
        <v>1546.8</v>
      </c>
      <c r="M183" s="108"/>
      <c r="N183" s="108"/>
      <c r="O183" s="108"/>
      <c r="P183" s="108"/>
      <c r="Q183" s="109"/>
      <c r="R183" s="90"/>
      <c r="S183" s="90"/>
      <c r="T183" s="108"/>
      <c r="U183" s="110"/>
      <c r="V183" s="63"/>
      <c r="W183" s="165"/>
    </row>
    <row r="184" s="4" customFormat="true" ht="42.75" hidden="false" customHeight="true" outlineLevel="0" collapsed="false">
      <c r="A184" s="49"/>
      <c r="B184" s="121" t="s">
        <v>189</v>
      </c>
      <c r="C184" s="78"/>
      <c r="D184" s="107"/>
      <c r="E184" s="80"/>
      <c r="F184" s="80"/>
      <c r="G184" s="80"/>
      <c r="H184" s="78"/>
      <c r="I184" s="70"/>
      <c r="J184" s="80"/>
      <c r="K184" s="80"/>
      <c r="L184" s="80"/>
      <c r="M184" s="108"/>
      <c r="N184" s="108"/>
      <c r="O184" s="108"/>
      <c r="P184" s="108"/>
      <c r="Q184" s="109"/>
      <c r="R184" s="90"/>
      <c r="S184" s="90"/>
      <c r="T184" s="108"/>
      <c r="U184" s="110"/>
      <c r="V184" s="63"/>
      <c r="W184" s="165"/>
    </row>
    <row r="185" s="4" customFormat="true" ht="43.75" hidden="false" customHeight="true" outlineLevel="0" collapsed="false">
      <c r="A185" s="49" t="n">
        <v>129</v>
      </c>
      <c r="B185" s="166" t="s">
        <v>190</v>
      </c>
      <c r="C185" s="78"/>
      <c r="D185" s="107"/>
      <c r="E185" s="80"/>
      <c r="F185" s="80"/>
      <c r="G185" s="80"/>
      <c r="H185" s="78" t="n">
        <v>12.1</v>
      </c>
      <c r="I185" s="70"/>
      <c r="J185" s="80" t="n">
        <v>161290.3</v>
      </c>
      <c r="K185" s="80" t="n">
        <v>150000</v>
      </c>
      <c r="L185" s="80" t="n">
        <f aca="false">J185-K185</f>
        <v>11290.3</v>
      </c>
      <c r="M185" s="108"/>
      <c r="N185" s="108"/>
      <c r="O185" s="108"/>
      <c r="P185" s="108"/>
      <c r="Q185" s="109"/>
      <c r="R185" s="90"/>
      <c r="S185" s="90"/>
      <c r="T185" s="108"/>
      <c r="U185" s="110"/>
      <c r="V185" s="63"/>
      <c r="W185" s="165" t="n">
        <f aca="false">K185/J185*100</f>
        <v>93.0000130200018</v>
      </c>
    </row>
    <row r="186" s="4" customFormat="true" ht="30.8" hidden="false" customHeight="true" outlineLevel="0" collapsed="false">
      <c r="A186" s="76"/>
      <c r="B186" s="69" t="s">
        <v>191</v>
      </c>
      <c r="C186" s="70" t="n">
        <f aca="false">SUM(C187:C195)</f>
        <v>6.28</v>
      </c>
      <c r="D186" s="67"/>
      <c r="E186" s="70" t="n">
        <f aca="false">SUM(E187:E195)</f>
        <v>79802.3</v>
      </c>
      <c r="F186" s="70" t="n">
        <f aca="false">SUM(F187:F195)</f>
        <v>75812.2</v>
      </c>
      <c r="G186" s="70" t="n">
        <f aca="false">SUM(G187:G195)</f>
        <v>3990.1</v>
      </c>
      <c r="H186" s="78"/>
      <c r="I186" s="70"/>
      <c r="J186" s="80"/>
      <c r="K186" s="80"/>
      <c r="L186" s="80"/>
      <c r="M186" s="108"/>
      <c r="N186" s="108"/>
      <c r="O186" s="108"/>
      <c r="P186" s="108"/>
      <c r="Q186" s="109"/>
      <c r="R186" s="90"/>
      <c r="S186" s="90"/>
      <c r="T186" s="108"/>
      <c r="U186" s="110"/>
      <c r="V186" s="63"/>
      <c r="W186" s="165"/>
    </row>
    <row r="187" s="4" customFormat="true" ht="27" hidden="false" customHeight="true" outlineLevel="0" collapsed="false">
      <c r="A187" s="49" t="n">
        <v>130</v>
      </c>
      <c r="B187" s="77" t="s">
        <v>192</v>
      </c>
      <c r="C187" s="78" t="n">
        <v>0.99</v>
      </c>
      <c r="D187" s="79"/>
      <c r="E187" s="80" t="n">
        <v>6598.80677</v>
      </c>
      <c r="F187" s="80" t="n">
        <f aca="false">E187*0.95</f>
        <v>6268.8664315</v>
      </c>
      <c r="G187" s="80" t="n">
        <f aca="false">E187-F187</f>
        <v>329.940338500001</v>
      </c>
      <c r="H187" s="78"/>
      <c r="I187" s="70"/>
      <c r="J187" s="80"/>
      <c r="K187" s="80"/>
      <c r="L187" s="80"/>
      <c r="M187" s="108"/>
      <c r="N187" s="108"/>
      <c r="O187" s="108"/>
      <c r="P187" s="108"/>
      <c r="Q187" s="109"/>
      <c r="R187" s="90"/>
      <c r="S187" s="90"/>
      <c r="T187" s="108"/>
      <c r="U187" s="110"/>
      <c r="V187" s="63"/>
      <c r="W187" s="165"/>
    </row>
    <row r="188" s="4" customFormat="true" ht="27" hidden="false" customHeight="true" outlineLevel="0" collapsed="false">
      <c r="A188" s="49" t="n">
        <v>131</v>
      </c>
      <c r="B188" s="77" t="s">
        <v>193</v>
      </c>
      <c r="C188" s="78" t="n">
        <v>0.53</v>
      </c>
      <c r="D188" s="79"/>
      <c r="E188" s="80" t="n">
        <v>3236.75906</v>
      </c>
      <c r="F188" s="80" t="n">
        <f aca="false">E188*0.95</f>
        <v>3074.921107</v>
      </c>
      <c r="G188" s="80" t="n">
        <f aca="false">E188-F188</f>
        <v>161.837953</v>
      </c>
      <c r="H188" s="78"/>
      <c r="I188" s="70"/>
      <c r="J188" s="80"/>
      <c r="K188" s="80"/>
      <c r="L188" s="80"/>
      <c r="M188" s="108"/>
      <c r="N188" s="108"/>
      <c r="O188" s="108"/>
      <c r="P188" s="108"/>
      <c r="Q188" s="109"/>
      <c r="R188" s="90"/>
      <c r="S188" s="90"/>
      <c r="T188" s="108"/>
      <c r="U188" s="110"/>
      <c r="V188" s="63"/>
      <c r="W188" s="165"/>
    </row>
    <row r="189" s="4" customFormat="true" ht="27" hidden="false" customHeight="true" outlineLevel="0" collapsed="false">
      <c r="A189" s="49" t="n">
        <v>132</v>
      </c>
      <c r="B189" s="77" t="s">
        <v>194</v>
      </c>
      <c r="C189" s="78" t="n">
        <v>0.12</v>
      </c>
      <c r="D189" s="79"/>
      <c r="E189" s="80" t="n">
        <v>1582.65673</v>
      </c>
      <c r="F189" s="80" t="n">
        <f aca="false">E189*0.95+0.015</f>
        <v>1503.5388935</v>
      </c>
      <c r="G189" s="80" t="n">
        <f aca="false">E189-F189</f>
        <v>79.1178365000001</v>
      </c>
      <c r="H189" s="78"/>
      <c r="I189" s="70"/>
      <c r="J189" s="80"/>
      <c r="K189" s="80"/>
      <c r="L189" s="80"/>
      <c r="M189" s="108"/>
      <c r="N189" s="108"/>
      <c r="O189" s="108"/>
      <c r="P189" s="108"/>
      <c r="Q189" s="109"/>
      <c r="R189" s="90"/>
      <c r="S189" s="90"/>
      <c r="T189" s="108"/>
      <c r="U189" s="110"/>
      <c r="V189" s="63"/>
      <c r="W189" s="165"/>
    </row>
    <row r="190" s="4" customFormat="true" ht="27" hidden="false" customHeight="true" outlineLevel="0" collapsed="false">
      <c r="A190" s="76" t="n">
        <v>133</v>
      </c>
      <c r="B190" s="77" t="s">
        <v>195</v>
      </c>
      <c r="C190" s="78" t="n">
        <v>0.34</v>
      </c>
      <c r="D190" s="79"/>
      <c r="E190" s="80" t="n">
        <v>3106.34049</v>
      </c>
      <c r="F190" s="80" t="n">
        <f aca="false">E190*0.95</f>
        <v>2951.0234655</v>
      </c>
      <c r="G190" s="80" t="n">
        <f aca="false">E190-F190</f>
        <v>155.3170245</v>
      </c>
      <c r="H190" s="78"/>
      <c r="I190" s="70"/>
      <c r="J190" s="80"/>
      <c r="K190" s="80"/>
      <c r="L190" s="80"/>
      <c r="M190" s="108"/>
      <c r="N190" s="108"/>
      <c r="O190" s="108"/>
      <c r="P190" s="108"/>
      <c r="Q190" s="109"/>
      <c r="R190" s="90"/>
      <c r="S190" s="90"/>
      <c r="T190" s="108"/>
      <c r="U190" s="110"/>
      <c r="V190" s="63"/>
      <c r="W190" s="165"/>
    </row>
    <row r="191" s="4" customFormat="true" ht="27" hidden="false" customHeight="true" outlineLevel="0" collapsed="false">
      <c r="A191" s="49" t="n">
        <v>134</v>
      </c>
      <c r="B191" s="77" t="s">
        <v>196</v>
      </c>
      <c r="C191" s="78" t="n">
        <v>0.81</v>
      </c>
      <c r="D191" s="79"/>
      <c r="E191" s="80" t="n">
        <v>9468.44134</v>
      </c>
      <c r="F191" s="80" t="n">
        <f aca="false">E191*0.95</f>
        <v>8995.019273</v>
      </c>
      <c r="G191" s="80" t="n">
        <f aca="false">E191-F191</f>
        <v>473.422067</v>
      </c>
      <c r="H191" s="78"/>
      <c r="I191" s="70"/>
      <c r="J191" s="80"/>
      <c r="K191" s="80"/>
      <c r="L191" s="80"/>
      <c r="M191" s="108"/>
      <c r="N191" s="108"/>
      <c r="O191" s="108"/>
      <c r="P191" s="108"/>
      <c r="Q191" s="109"/>
      <c r="R191" s="90"/>
      <c r="S191" s="90"/>
      <c r="T191" s="108"/>
      <c r="U191" s="110"/>
      <c r="V191" s="63"/>
      <c r="W191" s="165"/>
    </row>
    <row r="192" s="4" customFormat="true" ht="27" hidden="false" customHeight="true" outlineLevel="0" collapsed="false">
      <c r="A192" s="49" t="n">
        <v>135</v>
      </c>
      <c r="B192" s="77" t="s">
        <v>197</v>
      </c>
      <c r="C192" s="78" t="n">
        <v>1.07</v>
      </c>
      <c r="D192" s="79"/>
      <c r="E192" s="80" t="n">
        <v>16883.91486</v>
      </c>
      <c r="F192" s="80" t="n">
        <f aca="false">E192*0.95</f>
        <v>16039.719117</v>
      </c>
      <c r="G192" s="80" t="n">
        <f aca="false">E192-F192</f>
        <v>844.195743</v>
      </c>
      <c r="H192" s="78"/>
      <c r="I192" s="70"/>
      <c r="J192" s="80"/>
      <c r="K192" s="80"/>
      <c r="L192" s="80"/>
      <c r="M192" s="108"/>
      <c r="N192" s="108"/>
      <c r="O192" s="108"/>
      <c r="P192" s="108"/>
      <c r="Q192" s="109"/>
      <c r="R192" s="90"/>
      <c r="S192" s="90"/>
      <c r="T192" s="108"/>
      <c r="U192" s="110"/>
      <c r="V192" s="63"/>
      <c r="W192" s="165"/>
    </row>
    <row r="193" s="4" customFormat="true" ht="27" hidden="false" customHeight="true" outlineLevel="0" collapsed="false">
      <c r="A193" s="49" t="n">
        <v>136</v>
      </c>
      <c r="B193" s="77" t="s">
        <v>198</v>
      </c>
      <c r="C193" s="78" t="n">
        <v>0.39</v>
      </c>
      <c r="D193" s="79"/>
      <c r="E193" s="80" t="n">
        <v>6316.17608</v>
      </c>
      <c r="F193" s="80" t="n">
        <f aca="false">E193*0.95</f>
        <v>6000.367276</v>
      </c>
      <c r="G193" s="80" t="n">
        <f aca="false">E193-F193</f>
        <v>315.808804</v>
      </c>
      <c r="H193" s="78"/>
      <c r="I193" s="70"/>
      <c r="J193" s="80"/>
      <c r="K193" s="80"/>
      <c r="L193" s="80"/>
      <c r="M193" s="108"/>
      <c r="N193" s="108"/>
      <c r="O193" s="108"/>
      <c r="P193" s="108"/>
      <c r="Q193" s="109"/>
      <c r="R193" s="90"/>
      <c r="S193" s="90"/>
      <c r="T193" s="108"/>
      <c r="U193" s="110"/>
      <c r="V193" s="63"/>
      <c r="W193" s="165"/>
    </row>
    <row r="194" s="4" customFormat="true" ht="27" hidden="false" customHeight="true" outlineLevel="0" collapsed="false">
      <c r="A194" s="49" t="n">
        <v>137</v>
      </c>
      <c r="B194" s="77" t="s">
        <v>199</v>
      </c>
      <c r="C194" s="78" t="n">
        <v>1.41</v>
      </c>
      <c r="D194" s="79"/>
      <c r="E194" s="80" t="n">
        <v>27708.08396</v>
      </c>
      <c r="F194" s="80" t="n">
        <f aca="false">E194*0.95</f>
        <v>26322.679762</v>
      </c>
      <c r="G194" s="80" t="n">
        <f aca="false">E194-F194</f>
        <v>1385.404198</v>
      </c>
      <c r="H194" s="78"/>
      <c r="I194" s="70"/>
      <c r="J194" s="80"/>
      <c r="K194" s="80"/>
      <c r="L194" s="80"/>
      <c r="M194" s="108"/>
      <c r="N194" s="108"/>
      <c r="O194" s="108"/>
      <c r="P194" s="108"/>
      <c r="Q194" s="109"/>
      <c r="R194" s="90"/>
      <c r="S194" s="90"/>
      <c r="T194" s="108"/>
      <c r="U194" s="110"/>
      <c r="V194" s="63"/>
      <c r="W194" s="165"/>
    </row>
    <row r="195" s="4" customFormat="true" ht="27" hidden="false" customHeight="true" outlineLevel="0" collapsed="false">
      <c r="A195" s="76" t="n">
        <v>138</v>
      </c>
      <c r="B195" s="77" t="s">
        <v>200</v>
      </c>
      <c r="C195" s="78" t="n">
        <v>0.62</v>
      </c>
      <c r="D195" s="79"/>
      <c r="E195" s="80" t="n">
        <v>4901.12071</v>
      </c>
      <c r="F195" s="80" t="n">
        <f aca="false">E195*0.95</f>
        <v>4656.0646745</v>
      </c>
      <c r="G195" s="80" t="n">
        <f aca="false">E195-F195</f>
        <v>245.0560355</v>
      </c>
      <c r="H195" s="78"/>
      <c r="I195" s="70"/>
      <c r="J195" s="80"/>
      <c r="K195" s="80"/>
      <c r="L195" s="80"/>
      <c r="M195" s="108"/>
      <c r="N195" s="108"/>
      <c r="O195" s="108"/>
      <c r="P195" s="108"/>
      <c r="Q195" s="109"/>
      <c r="R195" s="90"/>
      <c r="S195" s="90"/>
      <c r="T195" s="108"/>
      <c r="U195" s="110"/>
      <c r="V195" s="63"/>
      <c r="W195" s="165"/>
    </row>
    <row r="196" s="4" customFormat="true" ht="33" hidden="false" customHeight="true" outlineLevel="0" collapsed="false">
      <c r="A196" s="49"/>
      <c r="B196" s="97" t="s">
        <v>201</v>
      </c>
      <c r="C196" s="70" t="n">
        <f aca="false">SUM(C197:C205)</f>
        <v>4.9347</v>
      </c>
      <c r="D196" s="67"/>
      <c r="E196" s="70" t="n">
        <f aca="false">SUM(E197:E205)</f>
        <v>54038</v>
      </c>
      <c r="F196" s="70" t="n">
        <f aca="false">SUM(F197:F205)</f>
        <v>50795.7</v>
      </c>
      <c r="G196" s="70" t="n">
        <f aca="false">SUM(G197:G205)</f>
        <v>3242.3</v>
      </c>
      <c r="H196" s="70"/>
      <c r="I196" s="70"/>
      <c r="J196" s="70"/>
      <c r="K196" s="70"/>
      <c r="L196" s="70"/>
      <c r="M196" s="70"/>
      <c r="N196" s="70"/>
      <c r="O196" s="70"/>
      <c r="P196" s="70"/>
      <c r="Q196" s="72"/>
      <c r="R196" s="73" t="e">
        <f aca="false">R198+#REF!</f>
        <v>#REF!</v>
      </c>
      <c r="S196" s="73"/>
      <c r="T196" s="70" t="e">
        <f aca="false">T198+#REF!</f>
        <v>#REF!</v>
      </c>
      <c r="U196" s="71" t="e">
        <f aca="false">U198+#REF!</f>
        <v>#REF!</v>
      </c>
      <c r="V196" s="72" t="e">
        <f aca="false">V198+#REF!</f>
        <v>#REF!</v>
      </c>
      <c r="Y196" s="4" t="s">
        <v>23</v>
      </c>
    </row>
    <row r="197" s="4" customFormat="true" ht="27" hidden="false" customHeight="true" outlineLevel="0" collapsed="false">
      <c r="A197" s="76" t="n">
        <v>139</v>
      </c>
      <c r="B197" s="121" t="s">
        <v>202</v>
      </c>
      <c r="C197" s="78" t="n">
        <v>0.78</v>
      </c>
      <c r="D197" s="67"/>
      <c r="E197" s="80" t="n">
        <v>12372.75</v>
      </c>
      <c r="F197" s="80" t="n">
        <v>11630.385</v>
      </c>
      <c r="G197" s="80" t="n">
        <f aca="false">E197-F197</f>
        <v>742.365</v>
      </c>
      <c r="H197" s="70"/>
      <c r="I197" s="70"/>
      <c r="J197" s="70"/>
      <c r="K197" s="70"/>
      <c r="L197" s="70"/>
      <c r="M197" s="70"/>
      <c r="N197" s="70"/>
      <c r="O197" s="70"/>
      <c r="P197" s="70"/>
      <c r="Q197" s="72"/>
      <c r="R197" s="73"/>
      <c r="S197" s="73"/>
      <c r="T197" s="70"/>
      <c r="U197" s="71"/>
      <c r="V197" s="72"/>
    </row>
    <row r="198" s="4" customFormat="true" ht="27" hidden="false" customHeight="true" outlineLevel="0" collapsed="false">
      <c r="A198" s="76" t="n">
        <v>140</v>
      </c>
      <c r="B198" s="121" t="s">
        <v>203</v>
      </c>
      <c r="C198" s="78" t="n">
        <v>0.18</v>
      </c>
      <c r="D198" s="107"/>
      <c r="E198" s="80" t="n">
        <v>2612.3604</v>
      </c>
      <c r="F198" s="80" t="n">
        <v>2455.61878</v>
      </c>
      <c r="G198" s="80" t="n">
        <f aca="false">E198-F198</f>
        <v>156.74162</v>
      </c>
      <c r="H198" s="167"/>
      <c r="I198" s="70"/>
      <c r="J198" s="70"/>
      <c r="K198" s="70"/>
      <c r="L198" s="108"/>
      <c r="M198" s="108"/>
      <c r="N198" s="108"/>
      <c r="O198" s="108"/>
      <c r="P198" s="108"/>
      <c r="Q198" s="109"/>
      <c r="R198" s="133" t="n">
        <v>9.488</v>
      </c>
      <c r="S198" s="168"/>
      <c r="T198" s="70" t="n">
        <v>132500</v>
      </c>
      <c r="U198" s="71" t="n">
        <f aca="false">T198</f>
        <v>132500</v>
      </c>
      <c r="V198" s="72"/>
    </row>
    <row r="199" s="4" customFormat="true" ht="27" hidden="false" customHeight="true" outlineLevel="0" collapsed="false">
      <c r="A199" s="76" t="n">
        <v>141</v>
      </c>
      <c r="B199" s="121" t="s">
        <v>204</v>
      </c>
      <c r="C199" s="78" t="n">
        <f aca="false">0.6504+0.22</f>
        <v>0.8704</v>
      </c>
      <c r="D199" s="107"/>
      <c r="E199" s="80" t="n">
        <v>17967.314</v>
      </c>
      <c r="F199" s="80" t="n">
        <v>16889.27516</v>
      </c>
      <c r="G199" s="80" t="n">
        <f aca="false">E199-F199</f>
        <v>1078.03884</v>
      </c>
      <c r="H199" s="167"/>
      <c r="I199" s="70"/>
      <c r="J199" s="70"/>
      <c r="K199" s="70"/>
      <c r="L199" s="108"/>
      <c r="M199" s="108"/>
      <c r="N199" s="108"/>
      <c r="O199" s="108"/>
      <c r="P199" s="108"/>
      <c r="Q199" s="109"/>
      <c r="R199" s="133"/>
      <c r="S199" s="168"/>
      <c r="T199" s="70"/>
      <c r="U199" s="71"/>
      <c r="V199" s="72"/>
    </row>
    <row r="200" s="4" customFormat="true" ht="27" hidden="false" customHeight="true" outlineLevel="0" collapsed="false">
      <c r="A200" s="76" t="n">
        <v>142</v>
      </c>
      <c r="B200" s="121" t="s">
        <v>205</v>
      </c>
      <c r="C200" s="78" t="n">
        <v>0.65</v>
      </c>
      <c r="D200" s="107"/>
      <c r="E200" s="80" t="n">
        <v>1850.4375</v>
      </c>
      <c r="F200" s="80" t="n">
        <v>1739.41125</v>
      </c>
      <c r="G200" s="80" t="n">
        <f aca="false">E200-F200</f>
        <v>111.02625</v>
      </c>
      <c r="H200" s="167"/>
      <c r="I200" s="70"/>
      <c r="J200" s="70"/>
      <c r="K200" s="70"/>
      <c r="L200" s="108"/>
      <c r="M200" s="108"/>
      <c r="N200" s="108"/>
      <c r="O200" s="108"/>
      <c r="P200" s="108"/>
      <c r="Q200" s="109"/>
      <c r="R200" s="133"/>
      <c r="S200" s="168"/>
      <c r="T200" s="70"/>
      <c r="U200" s="71"/>
      <c r="V200" s="72"/>
    </row>
    <row r="201" s="4" customFormat="true" ht="27" hidden="false" customHeight="true" outlineLevel="0" collapsed="false">
      <c r="A201" s="76" t="n">
        <v>143</v>
      </c>
      <c r="B201" s="121" t="s">
        <v>206</v>
      </c>
      <c r="C201" s="78" t="n">
        <v>0.85</v>
      </c>
      <c r="D201" s="107"/>
      <c r="E201" s="80" t="n">
        <v>4919.4498</v>
      </c>
      <c r="F201" s="80" t="n">
        <v>4624.28</v>
      </c>
      <c r="G201" s="80" t="n">
        <f aca="false">E201-F201</f>
        <v>295.169800000001</v>
      </c>
      <c r="H201" s="78"/>
      <c r="I201" s="70"/>
      <c r="J201" s="70"/>
      <c r="K201" s="70"/>
      <c r="L201" s="108"/>
      <c r="M201" s="108"/>
      <c r="N201" s="108"/>
      <c r="O201" s="108"/>
      <c r="P201" s="108"/>
      <c r="Q201" s="109"/>
      <c r="R201" s="133"/>
      <c r="S201" s="168"/>
      <c r="T201" s="70"/>
      <c r="U201" s="71"/>
      <c r="V201" s="72"/>
    </row>
    <row r="202" s="4" customFormat="true" ht="27" hidden="false" customHeight="true" outlineLevel="0" collapsed="false">
      <c r="A202" s="76" t="n">
        <v>144</v>
      </c>
      <c r="B202" s="121" t="s">
        <v>207</v>
      </c>
      <c r="C202" s="78" t="n">
        <v>0.11</v>
      </c>
      <c r="D202" s="107"/>
      <c r="E202" s="80" t="n">
        <v>1456.6504</v>
      </c>
      <c r="F202" s="80" t="n">
        <v>1369.25138</v>
      </c>
      <c r="G202" s="80" t="n">
        <f aca="false">E202-F202</f>
        <v>87.3990200000001</v>
      </c>
      <c r="H202" s="78"/>
      <c r="I202" s="70"/>
      <c r="J202" s="70"/>
      <c r="K202" s="70"/>
      <c r="L202" s="108"/>
      <c r="M202" s="108"/>
      <c r="N202" s="108"/>
      <c r="O202" s="108"/>
      <c r="P202" s="108"/>
      <c r="Q202" s="109"/>
      <c r="R202" s="133"/>
      <c r="S202" s="168"/>
      <c r="T202" s="70"/>
      <c r="U202" s="71"/>
      <c r="V202" s="72"/>
    </row>
    <row r="203" s="4" customFormat="true" ht="27" hidden="false" customHeight="true" outlineLevel="0" collapsed="false">
      <c r="A203" s="76" t="n">
        <v>145</v>
      </c>
      <c r="B203" s="121" t="s">
        <v>208</v>
      </c>
      <c r="C203" s="78" t="n">
        <v>0.65</v>
      </c>
      <c r="D203" s="107"/>
      <c r="E203" s="80" t="n">
        <v>2832.2026</v>
      </c>
      <c r="F203" s="80" t="n">
        <v>2662.27044</v>
      </c>
      <c r="G203" s="80" t="n">
        <f aca="false">E203-F203</f>
        <v>169.93216</v>
      </c>
      <c r="H203" s="78"/>
      <c r="I203" s="70"/>
      <c r="J203" s="70"/>
      <c r="K203" s="70"/>
      <c r="L203" s="108"/>
      <c r="M203" s="108"/>
      <c r="N203" s="108"/>
      <c r="O203" s="108"/>
      <c r="P203" s="108"/>
      <c r="Q203" s="109"/>
      <c r="R203" s="133"/>
      <c r="S203" s="168"/>
      <c r="T203" s="70"/>
      <c r="U203" s="71"/>
      <c r="V203" s="72"/>
    </row>
    <row r="204" s="4" customFormat="true" ht="46.5" hidden="false" customHeight="true" outlineLevel="0" collapsed="false">
      <c r="A204" s="76" t="n">
        <v>146</v>
      </c>
      <c r="B204" s="121" t="s">
        <v>209</v>
      </c>
      <c r="C204" s="78" t="n">
        <v>0.3413</v>
      </c>
      <c r="D204" s="107"/>
      <c r="E204" s="80" t="n">
        <f aca="false">2427.91296+0.12234</f>
        <v>2428.0353</v>
      </c>
      <c r="F204" s="80" t="n">
        <f aca="false">2282.23818+0.09504</f>
        <v>2282.33322</v>
      </c>
      <c r="G204" s="80" t="n">
        <f aca="false">E204-F204</f>
        <v>145.70208</v>
      </c>
      <c r="H204" s="78"/>
      <c r="I204" s="70"/>
      <c r="J204" s="70"/>
      <c r="K204" s="70"/>
      <c r="L204" s="108"/>
      <c r="M204" s="108"/>
      <c r="N204" s="108"/>
      <c r="O204" s="108"/>
      <c r="P204" s="108"/>
      <c r="Q204" s="109"/>
      <c r="R204" s="133"/>
      <c r="S204" s="168"/>
      <c r="T204" s="70"/>
      <c r="U204" s="71"/>
      <c r="V204" s="72"/>
      <c r="Z204" s="4" t="s">
        <v>8</v>
      </c>
    </row>
    <row r="205" s="4" customFormat="true" ht="30.75" hidden="false" customHeight="true" outlineLevel="0" collapsed="false">
      <c r="A205" s="76" t="n">
        <v>147</v>
      </c>
      <c r="B205" s="121" t="s">
        <v>210</v>
      </c>
      <c r="C205" s="78" t="n">
        <v>0.503</v>
      </c>
      <c r="D205" s="107"/>
      <c r="E205" s="80" t="n">
        <v>7598.8</v>
      </c>
      <c r="F205" s="80" t="n">
        <v>7142.87477</v>
      </c>
      <c r="G205" s="80" t="n">
        <f aca="false">E205-F205</f>
        <v>455.92523</v>
      </c>
      <c r="H205" s="78"/>
      <c r="I205" s="70"/>
      <c r="J205" s="70"/>
      <c r="K205" s="70"/>
      <c r="L205" s="108"/>
      <c r="M205" s="108"/>
      <c r="N205" s="108"/>
      <c r="O205" s="108"/>
      <c r="P205" s="108"/>
      <c r="Q205" s="109"/>
      <c r="R205" s="133"/>
      <c r="S205" s="168"/>
      <c r="T205" s="70"/>
      <c r="U205" s="71"/>
      <c r="V205" s="72"/>
    </row>
    <row r="206" s="4" customFormat="true" ht="33" hidden="false" customHeight="true" outlineLevel="0" collapsed="false">
      <c r="A206" s="76"/>
      <c r="B206" s="69" t="s">
        <v>211</v>
      </c>
      <c r="C206" s="70" t="n">
        <f aca="false">C207+C209</f>
        <v>10.98</v>
      </c>
      <c r="D206" s="117"/>
      <c r="E206" s="70" t="n">
        <f aca="false">E207+E209</f>
        <v>497511.8</v>
      </c>
      <c r="F206" s="70" t="n">
        <f aca="false">F207+F209</f>
        <v>462685.974</v>
      </c>
      <c r="G206" s="70" t="n">
        <f aca="false">G207+G209</f>
        <v>34825.826</v>
      </c>
      <c r="H206" s="70"/>
      <c r="I206" s="70" t="n">
        <f aca="false">I222</f>
        <v>325.3</v>
      </c>
      <c r="J206" s="70" t="n">
        <f aca="false">SUM(J209:J222)</f>
        <v>428993.5</v>
      </c>
      <c r="K206" s="70" t="n">
        <f aca="false">SUM(K209:K222)</f>
        <v>398963.955</v>
      </c>
      <c r="L206" s="70" t="n">
        <f aca="false">SUM(L209:L222)</f>
        <v>30029.545</v>
      </c>
      <c r="M206" s="70"/>
      <c r="N206" s="70"/>
      <c r="O206" s="70"/>
      <c r="P206" s="70"/>
      <c r="Q206" s="72"/>
      <c r="R206" s="73" t="e">
        <f aca="false">#REF!+#REF!+#REF!+#REF!</f>
        <v>#REF!</v>
      </c>
      <c r="S206" s="73"/>
      <c r="T206" s="67" t="e">
        <f aca="false">#REF!+#REF!+#REF!+#REF!</f>
        <v>#REF!</v>
      </c>
      <c r="U206" s="68" t="e">
        <f aca="false">#REF!+#REF!+#REF!+#REF!</f>
        <v>#REF!</v>
      </c>
      <c r="V206" s="132" t="e">
        <f aca="false">#REF!+#REF!+#REF!</f>
        <v>#REF!</v>
      </c>
    </row>
    <row r="207" s="4" customFormat="true" ht="42.75" hidden="false" customHeight="true" outlineLevel="0" collapsed="false">
      <c r="A207" s="76"/>
      <c r="B207" s="121" t="s">
        <v>212</v>
      </c>
      <c r="C207" s="80" t="n">
        <f aca="false">C208</f>
        <v>0.1</v>
      </c>
      <c r="D207" s="117"/>
      <c r="E207" s="80" t="n">
        <f aca="false">E208</f>
        <v>27508.9204</v>
      </c>
      <c r="F207" s="80" t="n">
        <f aca="false">F208</f>
        <v>25583.29598</v>
      </c>
      <c r="G207" s="80" t="n">
        <f aca="false">G208</f>
        <v>1925.62442</v>
      </c>
      <c r="H207" s="70"/>
      <c r="I207" s="70"/>
      <c r="J207" s="70"/>
      <c r="K207" s="70"/>
      <c r="L207" s="70"/>
      <c r="M207" s="70"/>
      <c r="N207" s="70"/>
      <c r="O207" s="70"/>
      <c r="P207" s="70"/>
      <c r="Q207" s="72"/>
      <c r="R207" s="73"/>
      <c r="S207" s="73"/>
      <c r="T207" s="67"/>
      <c r="U207" s="68"/>
      <c r="V207" s="132"/>
    </row>
    <row r="208" s="4" customFormat="true" ht="44.25" hidden="false" customHeight="true" outlineLevel="0" collapsed="false">
      <c r="A208" s="76" t="n">
        <v>148</v>
      </c>
      <c r="B208" s="121" t="s">
        <v>213</v>
      </c>
      <c r="C208" s="78" t="n">
        <v>0.1</v>
      </c>
      <c r="D208" s="117"/>
      <c r="E208" s="80" t="n">
        <v>27508.9204</v>
      </c>
      <c r="F208" s="80" t="n">
        <v>25583.29598</v>
      </c>
      <c r="G208" s="80" t="n">
        <f aca="false">E208-F208</f>
        <v>1925.62442</v>
      </c>
      <c r="H208" s="70"/>
      <c r="I208" s="70"/>
      <c r="J208" s="70"/>
      <c r="K208" s="70"/>
      <c r="L208" s="70"/>
      <c r="M208" s="70"/>
      <c r="N208" s="70"/>
      <c r="O208" s="70"/>
      <c r="P208" s="70"/>
      <c r="Q208" s="72"/>
      <c r="R208" s="73"/>
      <c r="S208" s="73"/>
      <c r="T208" s="67"/>
      <c r="U208" s="68"/>
      <c r="V208" s="132"/>
    </row>
    <row r="209" s="4" customFormat="true" ht="44.25" hidden="false" customHeight="true" outlineLevel="0" collapsed="false">
      <c r="A209" s="76"/>
      <c r="B209" s="121" t="s">
        <v>214</v>
      </c>
      <c r="C209" s="80" t="n">
        <f aca="false">0.1+10.78</f>
        <v>10.88</v>
      </c>
      <c r="D209" s="117"/>
      <c r="E209" s="80" t="n">
        <f aca="false">60000+437511.8-E208</f>
        <v>470002.8796</v>
      </c>
      <c r="F209" s="80" t="n">
        <f aca="false">462685.974-F208</f>
        <v>437102.67802</v>
      </c>
      <c r="G209" s="80" t="n">
        <f aca="false">34825.826-G208</f>
        <v>32900.20158</v>
      </c>
      <c r="H209" s="70"/>
      <c r="I209" s="70"/>
      <c r="J209" s="70"/>
      <c r="K209" s="70"/>
      <c r="L209" s="70"/>
      <c r="M209" s="70"/>
      <c r="N209" s="70"/>
      <c r="O209" s="70"/>
      <c r="P209" s="70"/>
      <c r="Q209" s="72"/>
      <c r="R209" s="73"/>
      <c r="S209" s="73"/>
      <c r="T209" s="67"/>
      <c r="U209" s="68"/>
      <c r="V209" s="132"/>
      <c r="W209" s="160" t="n">
        <f aca="false">F209-F210</f>
        <v>406885.974</v>
      </c>
    </row>
    <row r="210" s="4" customFormat="true" ht="37.5" hidden="false" customHeight="true" outlineLevel="0" collapsed="false">
      <c r="A210" s="76" t="n">
        <v>149</v>
      </c>
      <c r="B210" s="121" t="s">
        <v>215</v>
      </c>
      <c r="C210" s="78" t="n">
        <v>0.1</v>
      </c>
      <c r="D210" s="117"/>
      <c r="E210" s="80" t="n">
        <v>32491.0796</v>
      </c>
      <c r="F210" s="80" t="n">
        <v>30216.70402</v>
      </c>
      <c r="G210" s="80" t="n">
        <f aca="false">E210-F210</f>
        <v>2274.37558</v>
      </c>
      <c r="H210" s="70"/>
      <c r="I210" s="70"/>
      <c r="J210" s="70"/>
      <c r="K210" s="70"/>
      <c r="L210" s="70"/>
      <c r="M210" s="70"/>
      <c r="N210" s="70"/>
      <c r="O210" s="70"/>
      <c r="P210" s="70"/>
      <c r="Q210" s="72"/>
      <c r="R210" s="73"/>
      <c r="S210" s="73"/>
      <c r="T210" s="67"/>
      <c r="U210" s="68"/>
      <c r="V210" s="132"/>
    </row>
    <row r="211" s="4" customFormat="true" ht="56.25" hidden="true" customHeight="false" outlineLevel="0" collapsed="false">
      <c r="A211" s="76"/>
      <c r="B211" s="169" t="s">
        <v>216</v>
      </c>
      <c r="C211" s="170" t="n">
        <v>0.9</v>
      </c>
      <c r="D211" s="171"/>
      <c r="E211" s="172" t="n">
        <v>23377.7</v>
      </c>
      <c r="F211" s="172" t="n">
        <f aca="false">E211*0.93</f>
        <v>21741.261</v>
      </c>
      <c r="G211" s="172" t="n">
        <f aca="false">E211-F211</f>
        <v>1636.439</v>
      </c>
      <c r="H211" s="70"/>
      <c r="I211" s="70"/>
      <c r="J211" s="70"/>
      <c r="K211" s="70"/>
      <c r="L211" s="70"/>
      <c r="M211" s="70"/>
      <c r="N211" s="70"/>
      <c r="O211" s="70"/>
      <c r="P211" s="70"/>
      <c r="Q211" s="72"/>
      <c r="R211" s="73"/>
      <c r="S211" s="73"/>
      <c r="T211" s="67"/>
      <c r="U211" s="68"/>
      <c r="V211" s="132"/>
      <c r="AA211" s="4" t="s">
        <v>45</v>
      </c>
    </row>
    <row r="212" s="4" customFormat="true" ht="37.5" hidden="true" customHeight="false" outlineLevel="0" collapsed="false">
      <c r="A212" s="173"/>
      <c r="B212" s="174" t="s">
        <v>217</v>
      </c>
      <c r="C212" s="175" t="n">
        <v>2.3</v>
      </c>
      <c r="D212" s="176"/>
      <c r="E212" s="177" t="n">
        <v>98138.3</v>
      </c>
      <c r="F212" s="172" t="n">
        <f aca="false">E212*0.93</f>
        <v>91268.619</v>
      </c>
      <c r="G212" s="172" t="n">
        <f aca="false">E212-F212</f>
        <v>6869.681</v>
      </c>
      <c r="H212" s="178"/>
      <c r="I212" s="178"/>
      <c r="J212" s="178"/>
      <c r="K212" s="178"/>
      <c r="L212" s="178"/>
      <c r="M212" s="178"/>
      <c r="N212" s="178"/>
      <c r="O212" s="178"/>
      <c r="P212" s="178"/>
      <c r="Q212" s="179"/>
      <c r="R212" s="73"/>
      <c r="S212" s="73"/>
      <c r="T212" s="67"/>
      <c r="U212" s="68"/>
      <c r="V212" s="132"/>
    </row>
    <row r="213" s="4" customFormat="true" ht="37.5" hidden="true" customHeight="false" outlineLevel="0" collapsed="false">
      <c r="A213" s="173"/>
      <c r="B213" s="174" t="s">
        <v>218</v>
      </c>
      <c r="C213" s="175" t="n">
        <v>0.3</v>
      </c>
      <c r="D213" s="176"/>
      <c r="E213" s="177" t="n">
        <v>50560</v>
      </c>
      <c r="F213" s="172" t="n">
        <f aca="false">E213*0.93</f>
        <v>47020.8</v>
      </c>
      <c r="G213" s="172" t="n">
        <f aca="false">E213-F213</f>
        <v>3539.2</v>
      </c>
      <c r="H213" s="178"/>
      <c r="I213" s="178"/>
      <c r="J213" s="178"/>
      <c r="K213" s="178"/>
      <c r="L213" s="178"/>
      <c r="M213" s="178"/>
      <c r="N213" s="178"/>
      <c r="O213" s="178"/>
      <c r="P213" s="178"/>
      <c r="Q213" s="179"/>
      <c r="R213" s="73"/>
      <c r="S213" s="73"/>
      <c r="T213" s="67"/>
      <c r="U213" s="68"/>
      <c r="V213" s="132"/>
    </row>
    <row r="214" s="4" customFormat="true" ht="37.5" hidden="true" customHeight="false" outlineLevel="0" collapsed="false">
      <c r="A214" s="173"/>
      <c r="B214" s="174" t="s">
        <v>219</v>
      </c>
      <c r="C214" s="175" t="n">
        <v>0.23</v>
      </c>
      <c r="D214" s="176"/>
      <c r="E214" s="177" t="n">
        <v>20873</v>
      </c>
      <c r="F214" s="172" t="n">
        <f aca="false">E214*0.93</f>
        <v>19411.89</v>
      </c>
      <c r="G214" s="172" t="n">
        <f aca="false">E214-F214</f>
        <v>1461.11</v>
      </c>
      <c r="H214" s="178"/>
      <c r="I214" s="178"/>
      <c r="J214" s="178"/>
      <c r="K214" s="178"/>
      <c r="L214" s="178"/>
      <c r="M214" s="178"/>
      <c r="N214" s="178"/>
      <c r="O214" s="178"/>
      <c r="P214" s="178"/>
      <c r="Q214" s="179"/>
      <c r="R214" s="73"/>
      <c r="S214" s="73"/>
      <c r="T214" s="67"/>
      <c r="U214" s="68"/>
      <c r="V214" s="132"/>
    </row>
    <row r="215" s="4" customFormat="true" ht="37.5" hidden="true" customHeight="false" outlineLevel="0" collapsed="false">
      <c r="A215" s="173"/>
      <c r="B215" s="174" t="s">
        <v>220</v>
      </c>
      <c r="C215" s="175" t="n">
        <v>0.33</v>
      </c>
      <c r="D215" s="176"/>
      <c r="E215" s="177" t="n">
        <v>22015</v>
      </c>
      <c r="F215" s="172" t="n">
        <f aca="false">E215*0.93</f>
        <v>20473.95</v>
      </c>
      <c r="G215" s="172" t="n">
        <f aca="false">E215-F215</f>
        <v>1541.05</v>
      </c>
      <c r="H215" s="178"/>
      <c r="I215" s="178"/>
      <c r="J215" s="178"/>
      <c r="K215" s="178"/>
      <c r="L215" s="178"/>
      <c r="M215" s="178"/>
      <c r="N215" s="178"/>
      <c r="O215" s="178"/>
      <c r="P215" s="178"/>
      <c r="Q215" s="179"/>
      <c r="R215" s="73"/>
      <c r="S215" s="73"/>
      <c r="T215" s="67"/>
      <c r="U215" s="68"/>
      <c r="V215" s="132"/>
    </row>
    <row r="216" s="4" customFormat="true" ht="25.5" hidden="true" customHeight="true" outlineLevel="0" collapsed="false">
      <c r="A216" s="173"/>
      <c r="B216" s="174" t="s">
        <v>221</v>
      </c>
      <c r="C216" s="175" t="n">
        <v>1.5</v>
      </c>
      <c r="D216" s="176"/>
      <c r="E216" s="177" t="n">
        <v>82408.4</v>
      </c>
      <c r="F216" s="172" t="n">
        <f aca="false">E216*0.93</f>
        <v>76639.812</v>
      </c>
      <c r="G216" s="172" t="n">
        <f aca="false">E216-F216</f>
        <v>5768.58799999999</v>
      </c>
      <c r="H216" s="178"/>
      <c r="I216" s="178"/>
      <c r="J216" s="178"/>
      <c r="K216" s="178"/>
      <c r="L216" s="178"/>
      <c r="M216" s="178"/>
      <c r="N216" s="178"/>
      <c r="O216" s="178"/>
      <c r="P216" s="178"/>
      <c r="Q216" s="179"/>
      <c r="R216" s="73"/>
      <c r="S216" s="73"/>
      <c r="T216" s="67"/>
      <c r="U216" s="68"/>
      <c r="V216" s="132"/>
    </row>
    <row r="217" s="4" customFormat="true" ht="37.5" hidden="true" customHeight="false" outlineLevel="0" collapsed="false">
      <c r="A217" s="173"/>
      <c r="B217" s="174" t="s">
        <v>222</v>
      </c>
      <c r="C217" s="175" t="n">
        <v>0.8</v>
      </c>
      <c r="D217" s="176"/>
      <c r="E217" s="177" t="n">
        <v>48188.5</v>
      </c>
      <c r="F217" s="172" t="n">
        <f aca="false">E217*0.93</f>
        <v>44815.305</v>
      </c>
      <c r="G217" s="172" t="n">
        <f aca="false">E217-F217</f>
        <v>3373.195</v>
      </c>
      <c r="H217" s="178"/>
      <c r="I217" s="178"/>
      <c r="J217" s="178"/>
      <c r="K217" s="178"/>
      <c r="L217" s="178"/>
      <c r="M217" s="178"/>
      <c r="N217" s="178"/>
      <c r="O217" s="178"/>
      <c r="P217" s="178"/>
      <c r="Q217" s="179"/>
      <c r="R217" s="73"/>
      <c r="S217" s="73"/>
      <c r="T217" s="67"/>
      <c r="U217" s="68"/>
      <c r="V217" s="132"/>
    </row>
    <row r="218" s="4" customFormat="true" ht="37.5" hidden="true" customHeight="false" outlineLevel="0" collapsed="false">
      <c r="A218" s="173"/>
      <c r="B218" s="174" t="s">
        <v>223</v>
      </c>
      <c r="C218" s="175" t="n">
        <v>0.4</v>
      </c>
      <c r="D218" s="176"/>
      <c r="E218" s="177" t="n">
        <v>12686.6</v>
      </c>
      <c r="F218" s="172" t="n">
        <f aca="false">E218*0.93</f>
        <v>11798.538</v>
      </c>
      <c r="G218" s="172" t="n">
        <f aca="false">E218-F218</f>
        <v>888.062</v>
      </c>
      <c r="H218" s="178"/>
      <c r="I218" s="178"/>
      <c r="J218" s="178"/>
      <c r="K218" s="178"/>
      <c r="L218" s="178"/>
      <c r="M218" s="178"/>
      <c r="N218" s="178"/>
      <c r="O218" s="178"/>
      <c r="P218" s="178"/>
      <c r="Q218" s="179"/>
      <c r="R218" s="73"/>
      <c r="S218" s="73"/>
      <c r="T218" s="67"/>
      <c r="U218" s="68"/>
      <c r="V218" s="132"/>
    </row>
    <row r="219" s="4" customFormat="true" ht="19.5" hidden="true" customHeight="false" outlineLevel="0" collapsed="false">
      <c r="A219" s="173"/>
      <c r="B219" s="174" t="s">
        <v>224</v>
      </c>
      <c r="C219" s="175" t="n">
        <v>0.84</v>
      </c>
      <c r="D219" s="176"/>
      <c r="E219" s="177" t="n">
        <v>50597.9</v>
      </c>
      <c r="F219" s="172" t="n">
        <f aca="false">E219*0.93</f>
        <v>47056.047</v>
      </c>
      <c r="G219" s="172" t="n">
        <f aca="false">E219-F219</f>
        <v>3541.853</v>
      </c>
      <c r="H219" s="178"/>
      <c r="I219" s="178"/>
      <c r="J219" s="178"/>
      <c r="K219" s="178"/>
      <c r="L219" s="178"/>
      <c r="M219" s="178"/>
      <c r="N219" s="178"/>
      <c r="O219" s="178"/>
      <c r="P219" s="178"/>
      <c r="Q219" s="179"/>
      <c r="R219" s="73"/>
      <c r="S219" s="73"/>
      <c r="T219" s="67"/>
      <c r="U219" s="68"/>
      <c r="V219" s="132"/>
    </row>
    <row r="220" s="4" customFormat="true" ht="19.5" hidden="true" customHeight="false" outlineLevel="0" collapsed="false">
      <c r="A220" s="173"/>
      <c r="B220" s="174" t="s">
        <v>225</v>
      </c>
      <c r="C220" s="175" t="n">
        <v>0.58</v>
      </c>
      <c r="D220" s="176"/>
      <c r="E220" s="177" t="n">
        <v>24116.4</v>
      </c>
      <c r="F220" s="172" t="n">
        <f aca="false">E220*0.93</f>
        <v>22428.252</v>
      </c>
      <c r="G220" s="172" t="n">
        <f aca="false">E220-F220</f>
        <v>1688.148</v>
      </c>
      <c r="H220" s="178"/>
      <c r="I220" s="178"/>
      <c r="J220" s="178"/>
      <c r="K220" s="178"/>
      <c r="L220" s="178"/>
      <c r="M220" s="178"/>
      <c r="N220" s="178"/>
      <c r="O220" s="178"/>
      <c r="P220" s="178"/>
      <c r="Q220" s="179"/>
      <c r="R220" s="73"/>
      <c r="S220" s="73"/>
      <c r="T220" s="67"/>
      <c r="U220" s="68"/>
      <c r="V220" s="132"/>
    </row>
    <row r="221" s="4" customFormat="true" ht="37.5" hidden="true" customHeight="false" outlineLevel="0" collapsed="false">
      <c r="A221" s="180"/>
      <c r="B221" s="181" t="s">
        <v>226</v>
      </c>
      <c r="C221" s="170" t="n">
        <v>0.2</v>
      </c>
      <c r="D221" s="171"/>
      <c r="E221" s="172" t="n">
        <v>4550</v>
      </c>
      <c r="F221" s="172" t="n">
        <f aca="false">E221*0.93</f>
        <v>4231.5</v>
      </c>
      <c r="G221" s="172" t="n">
        <f aca="false">E221-F221</f>
        <v>318.5</v>
      </c>
      <c r="H221" s="70"/>
      <c r="I221" s="70"/>
      <c r="J221" s="70"/>
      <c r="K221" s="70"/>
      <c r="L221" s="70"/>
      <c r="M221" s="70"/>
      <c r="N221" s="70"/>
      <c r="O221" s="70"/>
      <c r="P221" s="70"/>
      <c r="Q221" s="72"/>
      <c r="R221" s="73"/>
      <c r="S221" s="73"/>
      <c r="T221" s="67"/>
      <c r="U221" s="68"/>
      <c r="V221" s="132"/>
    </row>
    <row r="222" s="4" customFormat="true" ht="63" hidden="false" customHeight="true" outlineLevel="0" collapsed="false">
      <c r="A222" s="182" t="n">
        <v>150</v>
      </c>
      <c r="B222" s="183" t="s">
        <v>227</v>
      </c>
      <c r="C222" s="184"/>
      <c r="D222" s="185"/>
      <c r="E222" s="186"/>
      <c r="F222" s="186"/>
      <c r="G222" s="186"/>
      <c r="H222" s="184"/>
      <c r="I222" s="186" t="n">
        <f aca="false">111.3+214</f>
        <v>325.3</v>
      </c>
      <c r="J222" s="186" t="n">
        <v>428993.5</v>
      </c>
      <c r="K222" s="186" t="n">
        <v>398963.955</v>
      </c>
      <c r="L222" s="186" t="n">
        <v>30029.545</v>
      </c>
      <c r="M222" s="187"/>
      <c r="N222" s="187"/>
      <c r="O222" s="187"/>
      <c r="P222" s="187"/>
      <c r="Q222" s="188"/>
      <c r="R222" s="73"/>
      <c r="S222" s="73"/>
      <c r="T222" s="67"/>
      <c r="U222" s="68"/>
      <c r="V222" s="132"/>
      <c r="W222" s="160" t="n">
        <v>730170.6</v>
      </c>
      <c r="X222" s="160" t="n">
        <f aca="false">W222-J222</f>
        <v>301177.1</v>
      </c>
    </row>
    <row r="223" s="4" customFormat="true" ht="21.75" hidden="false" customHeight="true" outlineLevel="0" collapsed="false">
      <c r="A223" s="1"/>
      <c r="B223" s="2"/>
    </row>
    <row r="224" s="4" customFormat="true" ht="33.75" hidden="false" customHeight="true" outlineLevel="0" collapsed="false">
      <c r="A224" s="1"/>
      <c r="B224" s="2"/>
    </row>
    <row r="225" s="4" customFormat="true" ht="36" hidden="false" customHeight="true" outlineLevel="0" collapsed="false">
      <c r="A225" s="1"/>
      <c r="B225" s="189" t="s">
        <v>228</v>
      </c>
      <c r="C225" s="189"/>
      <c r="D225" s="189"/>
      <c r="E225" s="189"/>
      <c r="F225" s="160"/>
      <c r="O225" s="190" t="s">
        <v>229</v>
      </c>
    </row>
    <row r="226" s="4" customFormat="true" ht="15" hidden="false" customHeight="true" outlineLevel="0" collapsed="false">
      <c r="A226" s="1"/>
      <c r="B226" s="2"/>
      <c r="E226" s="191"/>
      <c r="F226" s="191"/>
      <c r="G226" s="191"/>
    </row>
    <row r="227" s="4" customFormat="true" ht="18.75" hidden="false" customHeight="false" outlineLevel="0" collapsed="false">
      <c r="A227" s="1"/>
      <c r="B227" s="2"/>
    </row>
    <row r="228" s="4" customFormat="true" ht="18.75" hidden="false" customHeight="false" outlineLevel="0" collapsed="false">
      <c r="A228" s="1"/>
      <c r="B228" s="2"/>
    </row>
    <row r="229" s="4" customFormat="true" ht="18.75" hidden="false" customHeight="false" outlineLevel="0" collapsed="false">
      <c r="A229" s="1"/>
      <c r="B229" s="2"/>
    </row>
    <row r="230" s="4" customFormat="true" ht="18.75" hidden="false" customHeight="false" outlineLevel="0" collapsed="false">
      <c r="A230" s="1"/>
      <c r="B230" s="2"/>
    </row>
    <row r="231" s="4" customFormat="true" ht="18.75" hidden="false" customHeight="false" outlineLevel="0" collapsed="false">
      <c r="A231" s="1"/>
      <c r="B231" s="2"/>
    </row>
    <row r="232" s="4" customFormat="true" ht="18.75" hidden="false" customHeight="false" outlineLevel="0" collapsed="false">
      <c r="A232" s="1"/>
      <c r="B232" s="2"/>
    </row>
    <row r="233" s="4" customFormat="true" ht="18.75" hidden="false" customHeight="false" outlineLevel="0" collapsed="false">
      <c r="A233" s="1"/>
      <c r="B233" s="2"/>
    </row>
    <row r="234" s="4" customFormat="true" ht="18.75" hidden="false" customHeight="false" outlineLevel="0" collapsed="false">
      <c r="A234" s="1"/>
      <c r="B234" s="2"/>
    </row>
  </sheetData>
  <mergeCells count="25">
    <mergeCell ref="K1:Q1"/>
    <mergeCell ref="R1:V1"/>
    <mergeCell ref="A2:V2"/>
    <mergeCell ref="A3:V3"/>
    <mergeCell ref="A5:A7"/>
    <mergeCell ref="B5:B7"/>
    <mergeCell ref="C5:G5"/>
    <mergeCell ref="H5:L5"/>
    <mergeCell ref="M5:Q5"/>
    <mergeCell ref="R5:V5"/>
    <mergeCell ref="C6:D6"/>
    <mergeCell ref="E6:E7"/>
    <mergeCell ref="F6:G6"/>
    <mergeCell ref="H6:I6"/>
    <mergeCell ref="J6:J7"/>
    <mergeCell ref="K6:L6"/>
    <mergeCell ref="M6:N6"/>
    <mergeCell ref="O6:O7"/>
    <mergeCell ref="P6:Q6"/>
    <mergeCell ref="R6:S6"/>
    <mergeCell ref="T6:T7"/>
    <mergeCell ref="U6:V6"/>
    <mergeCell ref="A9:Q9"/>
    <mergeCell ref="B10:Q10"/>
    <mergeCell ref="B225:E225"/>
  </mergeCells>
  <printOptions headings="false" gridLines="false" gridLinesSet="true" horizontalCentered="true" verticalCentered="false"/>
  <pageMargins left="0.590277777777778" right="0.39375" top="0.591666666666667" bottom="0.590277777777778" header="0.196527777777778" footer="0.511811023622047"/>
  <pageSetup paperSize="9" scale="100" fitToWidth="1" fitToHeight="7" pageOrder="downThenOver" orientation="landscape" blackAndWhite="false" draft="false" cellComments="none" firstPageNumber="69" useFirstPageNumber="true" horizontalDpi="300" verticalDpi="300" copies="1"/>
  <headerFooter differentFirst="false" differentOddEven="false">
    <oddHeader>&amp;C&amp;14&amp;P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72</TotalTime>
  <Application>LibreOffice/7.6.7.2$Linux_X86_64 LibreOffice_project/60$Build-2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2020-10-29T15:31:04Z</dcterms:created>
  <dc:creator>Шеховцова</dc:creator>
  <dc:description/>
  <dc:language>ru-RU</dc:language>
  <cp:lastModifiedBy/>
  <cp:lastPrinted>2024-12-23T13:09:34Z</cp:lastPrinted>
  <dcterms:modified xsi:type="dcterms:W3CDTF">2024-12-23T13:10:53Z</dcterms:modified>
  <cp:revision>14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